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980" windowHeight="1170"/>
  </bookViews>
  <sheets>
    <sheet name="Документ" sheetId="1" r:id="rId1"/>
    <sheet name="Лист1" sheetId="2" r:id="rId2"/>
  </sheets>
  <definedNames>
    <definedName name="_xlnm._FilterDatabase" localSheetId="0" hidden="1">Документ!$A$8:$K$63</definedName>
    <definedName name="_xlnm.Print_Titles" localSheetId="0">Документ!$6:$8</definedName>
  </definedNames>
  <calcPr calcId="145621"/>
</workbook>
</file>

<file path=xl/calcChain.xml><?xml version="1.0" encoding="utf-8"?>
<calcChain xmlns="http://schemas.openxmlformats.org/spreadsheetml/2006/main">
  <c r="H23" i="1" l="1"/>
  <c r="J23" i="1"/>
  <c r="K23" i="1"/>
  <c r="C53" i="1" l="1"/>
  <c r="C52" i="1"/>
  <c r="C37" i="1"/>
  <c r="C35" i="1"/>
  <c r="C34" i="1"/>
  <c r="C32" i="1"/>
  <c r="C30" i="1"/>
  <c r="C28" i="1" l="1"/>
  <c r="C27" i="1"/>
  <c r="C17" i="1"/>
  <c r="C47" i="1"/>
  <c r="C46" i="1"/>
  <c r="C44" i="1"/>
  <c r="C43" i="1"/>
  <c r="C41" i="1"/>
  <c r="C14" i="1"/>
  <c r="C11" i="1"/>
  <c r="C10" i="1"/>
  <c r="C59" i="1"/>
  <c r="C58" i="1"/>
  <c r="C57" i="1"/>
  <c r="C56" i="1"/>
  <c r="C61" i="1"/>
  <c r="C54" i="1"/>
  <c r="C49" i="1"/>
  <c r="C29" i="1"/>
  <c r="C25" i="1"/>
  <c r="C24" i="1"/>
  <c r="C22" i="1"/>
  <c r="C21" i="1"/>
  <c r="C19" i="1"/>
  <c r="C13" i="1"/>
  <c r="C12" i="1"/>
  <c r="D20" i="1" l="1"/>
  <c r="K42" i="1" l="1"/>
  <c r="J42" i="1"/>
  <c r="H42" i="1"/>
  <c r="J62" i="1" l="1"/>
  <c r="H10" i="1" l="1"/>
  <c r="I10" i="1"/>
  <c r="D31" i="1" l="1"/>
  <c r="K24" i="1"/>
  <c r="J24" i="1"/>
  <c r="I24" i="1"/>
  <c r="H24" i="1"/>
  <c r="C9" i="1" l="1"/>
  <c r="J29" i="1" l="1"/>
  <c r="K29" i="1"/>
  <c r="I61" i="1"/>
  <c r="K21" i="1"/>
  <c r="K15" i="1"/>
  <c r="D48" i="1" l="1"/>
  <c r="E48" i="1"/>
  <c r="F48" i="1"/>
  <c r="G48" i="1"/>
  <c r="C48" i="1"/>
  <c r="K49" i="1"/>
  <c r="J49" i="1"/>
  <c r="H49" i="1"/>
  <c r="K48" i="1" l="1"/>
  <c r="I32" i="1"/>
  <c r="K61" i="1"/>
  <c r="K54" i="1"/>
  <c r="K53" i="1"/>
  <c r="K52" i="1"/>
  <c r="K13" i="1"/>
  <c r="K14" i="1"/>
  <c r="I29" i="1"/>
  <c r="J15" i="1"/>
  <c r="J14" i="1"/>
  <c r="J13" i="1"/>
  <c r="I14" i="1"/>
  <c r="I13" i="1"/>
  <c r="I59" i="1"/>
  <c r="I58" i="1"/>
  <c r="I57" i="1"/>
  <c r="I54" i="1"/>
  <c r="I53" i="1"/>
  <c r="I52" i="1"/>
  <c r="H62" i="1" l="1"/>
  <c r="H15" i="1"/>
  <c r="H13" i="1"/>
  <c r="G50" i="1"/>
  <c r="F50" i="1"/>
  <c r="E50" i="1"/>
  <c r="D50" i="1"/>
  <c r="J10" i="1" l="1"/>
  <c r="I41" i="1" l="1"/>
  <c r="I34" i="1"/>
  <c r="K58" i="1"/>
  <c r="K33" i="1"/>
  <c r="K32" i="1"/>
  <c r="D9" i="1"/>
  <c r="E38" i="1" l="1"/>
  <c r="K59" i="1" l="1"/>
  <c r="K57" i="1"/>
  <c r="K56" i="1"/>
  <c r="K51" i="1"/>
  <c r="K47" i="1"/>
  <c r="K46" i="1"/>
  <c r="K44" i="1"/>
  <c r="K43" i="1"/>
  <c r="K41" i="1"/>
  <c r="K40" i="1"/>
  <c r="K39" i="1"/>
  <c r="K37" i="1"/>
  <c r="K35" i="1"/>
  <c r="K34" i="1"/>
  <c r="K30" i="1"/>
  <c r="K28" i="1"/>
  <c r="K27" i="1"/>
  <c r="K25" i="1"/>
  <c r="K22" i="1"/>
  <c r="K19" i="1"/>
  <c r="K17" i="1"/>
  <c r="K16" i="1"/>
  <c r="K12" i="1"/>
  <c r="K11" i="1"/>
  <c r="K10" i="1"/>
  <c r="J61" i="1"/>
  <c r="J60" i="1" s="1"/>
  <c r="J59" i="1"/>
  <c r="J58" i="1"/>
  <c r="J57" i="1"/>
  <c r="J56" i="1"/>
  <c r="J54" i="1"/>
  <c r="J53" i="1"/>
  <c r="J52" i="1"/>
  <c r="J51" i="1"/>
  <c r="J47" i="1"/>
  <c r="J46" i="1"/>
  <c r="J44" i="1"/>
  <c r="J43" i="1"/>
  <c r="J41" i="1"/>
  <c r="J40" i="1"/>
  <c r="J39" i="1"/>
  <c r="J37" i="1"/>
  <c r="J36" i="1" s="1"/>
  <c r="J35" i="1"/>
  <c r="J34" i="1"/>
  <c r="J33" i="1"/>
  <c r="J32" i="1"/>
  <c r="J30" i="1"/>
  <c r="J28" i="1"/>
  <c r="J27" i="1"/>
  <c r="J25" i="1"/>
  <c r="J22" i="1"/>
  <c r="J21" i="1"/>
  <c r="J19" i="1"/>
  <c r="J18" i="1" s="1"/>
  <c r="J17" i="1"/>
  <c r="J16" i="1"/>
  <c r="J12" i="1"/>
  <c r="J11" i="1"/>
  <c r="I56" i="1"/>
  <c r="I51" i="1"/>
  <c r="I47" i="1"/>
  <c r="I46" i="1"/>
  <c r="I44" i="1"/>
  <c r="I43" i="1"/>
  <c r="I40" i="1"/>
  <c r="I39" i="1"/>
  <c r="I37" i="1"/>
  <c r="I35" i="1"/>
  <c r="I30" i="1"/>
  <c r="I28" i="1"/>
  <c r="I27" i="1"/>
  <c r="I25" i="1"/>
  <c r="I22" i="1"/>
  <c r="I21" i="1"/>
  <c r="I19" i="1"/>
  <c r="I17" i="1"/>
  <c r="I12" i="1"/>
  <c r="I11" i="1"/>
  <c r="H61" i="1"/>
  <c r="H60" i="1" s="1"/>
  <c r="H59" i="1"/>
  <c r="H58" i="1"/>
  <c r="H57" i="1"/>
  <c r="H56" i="1"/>
  <c r="H54" i="1"/>
  <c r="H53" i="1"/>
  <c r="H52" i="1"/>
  <c r="H51" i="1"/>
  <c r="H47" i="1"/>
  <c r="H46" i="1"/>
  <c r="H44" i="1"/>
  <c r="H43" i="1"/>
  <c r="H41" i="1"/>
  <c r="H40" i="1"/>
  <c r="H39" i="1"/>
  <c r="H37" i="1"/>
  <c r="H36" i="1" s="1"/>
  <c r="H35" i="1"/>
  <c r="H34" i="1"/>
  <c r="H33" i="1"/>
  <c r="H32" i="1"/>
  <c r="H30" i="1"/>
  <c r="H29" i="1"/>
  <c r="H28" i="1"/>
  <c r="H27" i="1"/>
  <c r="H25" i="1"/>
  <c r="H22" i="1"/>
  <c r="H21" i="1"/>
  <c r="H19" i="1"/>
  <c r="H18" i="1" s="1"/>
  <c r="H17" i="1"/>
  <c r="H16" i="1"/>
  <c r="H14" i="1"/>
  <c r="H12" i="1"/>
  <c r="H11" i="1"/>
  <c r="D60" i="1"/>
  <c r="E60" i="1"/>
  <c r="F60" i="1"/>
  <c r="G60" i="1"/>
  <c r="C60" i="1"/>
  <c r="D55" i="1"/>
  <c r="E55" i="1"/>
  <c r="F55" i="1"/>
  <c r="G55" i="1"/>
  <c r="C55" i="1"/>
  <c r="C50" i="1"/>
  <c r="D45" i="1"/>
  <c r="E45" i="1"/>
  <c r="F45" i="1"/>
  <c r="G45" i="1"/>
  <c r="C45" i="1"/>
  <c r="D38" i="1"/>
  <c r="K38" i="1" s="1"/>
  <c r="F38" i="1"/>
  <c r="G38" i="1"/>
  <c r="C38" i="1"/>
  <c r="D36" i="1"/>
  <c r="E36" i="1"/>
  <c r="F36" i="1"/>
  <c r="G36" i="1"/>
  <c r="C36" i="1"/>
  <c r="E31" i="1"/>
  <c r="F31" i="1"/>
  <c r="G31" i="1"/>
  <c r="C31" i="1"/>
  <c r="D26" i="1"/>
  <c r="E26" i="1"/>
  <c r="F26" i="1"/>
  <c r="G26" i="1"/>
  <c r="C26" i="1"/>
  <c r="E20" i="1"/>
  <c r="F20" i="1"/>
  <c r="G20" i="1"/>
  <c r="C20" i="1"/>
  <c r="D18" i="1"/>
  <c r="E18" i="1"/>
  <c r="F18" i="1"/>
  <c r="G18" i="1"/>
  <c r="C18" i="1"/>
  <c r="E9" i="1"/>
  <c r="K9" i="1" s="1"/>
  <c r="F9" i="1"/>
  <c r="G9" i="1"/>
  <c r="J50" i="1" l="1"/>
  <c r="J48" i="1" s="1"/>
  <c r="H50" i="1"/>
  <c r="H48" i="1" s="1"/>
  <c r="J20" i="1"/>
  <c r="I60" i="1"/>
  <c r="F63" i="1"/>
  <c r="D63" i="1"/>
  <c r="K60" i="1"/>
  <c r="E63" i="1"/>
  <c r="C63" i="1"/>
  <c r="G63" i="1"/>
  <c r="H31" i="1"/>
  <c r="H45" i="1"/>
  <c r="I36" i="1"/>
  <c r="J45" i="1"/>
  <c r="K50" i="1"/>
  <c r="H26" i="1"/>
  <c r="K18" i="1"/>
  <c r="K45" i="1"/>
  <c r="J9" i="1"/>
  <c r="K36" i="1"/>
  <c r="I55" i="1"/>
  <c r="H9" i="1"/>
  <c r="J31" i="1"/>
  <c r="H55" i="1"/>
  <c r="I45" i="1"/>
  <c r="I26" i="1"/>
  <c r="H20" i="1"/>
  <c r="K55" i="1"/>
  <c r="J38" i="1"/>
  <c r="K31" i="1"/>
  <c r="J26" i="1"/>
  <c r="K20" i="1"/>
  <c r="J55" i="1"/>
  <c r="H38" i="1"/>
  <c r="I38" i="1"/>
  <c r="I31" i="1"/>
  <c r="K26" i="1"/>
  <c r="I9" i="1"/>
  <c r="I20" i="1"/>
  <c r="I18" i="1"/>
  <c r="I50" i="1"/>
  <c r="I63" i="1" l="1"/>
  <c r="H63" i="1"/>
  <c r="K63" i="1"/>
  <c r="J63" i="1"/>
</calcChain>
</file>

<file path=xl/sharedStrings.xml><?xml version="1.0" encoding="utf-8"?>
<sst xmlns="http://schemas.openxmlformats.org/spreadsheetml/2006/main" count="129" uniqueCount="124">
  <si>
    <t>(рублей)</t>
  </si>
  <si>
    <t>Наименование</t>
  </si>
  <si>
    <t>Код раздела, подраздела</t>
  </si>
  <si>
    <t>ОБЩЕГОСУДАРСТВЕННЫЕ ВОПРОСЫ</t>
  </si>
  <si>
    <t>0100</t>
  </si>
  <si>
    <t xml:space="preserve">  Функционирование высшего должностного лица субъекта Российской Федерации и муниципального образования</t>
  </si>
  <si>
    <t>0102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</si>
  <si>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</si>
  <si>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</si>
  <si>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</si>
  <si>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</si>
  <si>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</si>
  <si>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</si>
  <si>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Резервные фонды</t>
  </si>
  <si>
    <t>0111</t>
  </si>
  <si>
    <t xml:space="preserve">  Другие общегосударственные вопросы</t>
  </si>
  <si>
    <t>0113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</si>
  <si>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</si>
  <si>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</si>
  <si>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</si>
  <si>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</si>
  <si>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</si>
  <si>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</si>
  <si>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 xml:space="preserve">  Органы юстиции</t>
  </si>
  <si>
    <t>0304</t>
  </si>
  <si>
    <t>0309</t>
  </si>
  <si>
    <t xml:space="preserve">  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</si>
  <si>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</si>
  <si>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</si>
  <si>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</si>
  <si>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 xml:space="preserve">  Сельское хозяйство и рыболовство</t>
  </si>
  <si>
    <t>0405</t>
  </si>
  <si>
    <t xml:space="preserve">  Дорожное хозяйство (дорожные фонды)</t>
  </si>
  <si>
    <t>0409</t>
  </si>
  <si>
    <t xml:space="preserve">  Связь и информатика</t>
  </si>
  <si>
    <t>0410</t>
  </si>
  <si>
    <t xml:space="preserve">  Другие вопросы в области национальной экономики</t>
  </si>
  <si>
    <t>0412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</si>
  <si>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</si>
  <si>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</si>
  <si>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</si>
  <si>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</si>
  <si>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Коммунальное хозяйство</t>
  </si>
  <si>
    <t>0502</t>
  </si>
  <si>
    <t xml:space="preserve">  Благоустройство</t>
  </si>
  <si>
    <t>0503</t>
  </si>
  <si>
    <t xml:space="preserve">  Другие вопросы в области жилищно-коммунального хозяйства</t>
  </si>
  <si>
    <t>0505</t>
  </si>
  <si>
    <t>ОХРАНА ОКРУЖАЮЩЕЙ СРЕДЫ</t>
  </si>
  <si>
    <t>0600</t>
  </si>
  <si>
    <t xml:space="preserve">  Другие вопросы в области охраны окружающей среды</t>
  </si>
  <si>
    <t>0605</t>
  </si>
  <si>
    <t>ОБРАЗОВАНИЕ</t>
  </si>
  <si>
    <t>0700</t>
  </si>
  <si>
    <t xml:space="preserve">  Дошкольное образование</t>
  </si>
  <si>
    <t>0701</t>
  </si>
  <si>
    <t xml:space="preserve">  Общее образование</t>
  </si>
  <si>
    <t>0702</t>
  </si>
  <si>
    <t xml:space="preserve">  Дополнительное образование детей</t>
  </si>
  <si>
    <t>0703</t>
  </si>
  <si>
    <t xml:space="preserve">  Молодежная политика</t>
  </si>
  <si>
    <t>0707</t>
  </si>
  <si>
    <t xml:space="preserve">  Другие вопросы в области образования</t>
  </si>
  <si>
    <t>0709</t>
  </si>
  <si>
    <t>КУЛЬТУРА, КИНЕМАТОГРАФИЯ</t>
  </si>
  <si>
    <t>0800</t>
  </si>
  <si>
    <t xml:space="preserve">  Культура</t>
  </si>
  <si>
    <t>0801</t>
  </si>
  <si>
    <t xml:space="preserve">  Другие вопросы в области культуры, кинематографии</t>
  </si>
  <si>
    <t>0804</t>
  </si>
  <si>
    <t>СОЦИАЛЬНАЯ ПОЛИТИКА</t>
  </si>
  <si>
    <t>1000</t>
  </si>
  <si>
    <t xml:space="preserve">  Пенсионное обеспечение</t>
  </si>
  <si>
    <t>1001</t>
  </si>
  <si>
    <t xml:space="preserve">  Социальное обеспечение населения</t>
  </si>
  <si>
    <t>1003</t>
  </si>
  <si>
    <t xml:space="preserve">  Охрана семьи и детства</t>
  </si>
  <si>
    <t>1004</t>
  </si>
  <si>
    <t xml:space="preserve">  Другие вопросы в области социальной политики</t>
  </si>
  <si>
    <t>1006</t>
  </si>
  <si>
    <t>ФИЗИЧЕСКАЯ КУЛЬТУРА И СПОРТ</t>
  </si>
  <si>
    <t>1100</t>
  </si>
  <si>
    <t xml:space="preserve">  Физическая культура</t>
  </si>
  <si>
    <t>1101</t>
  </si>
  <si>
    <t xml:space="preserve">  Массовый спорт</t>
  </si>
  <si>
    <t>1102</t>
  </si>
  <si>
    <t xml:space="preserve">  Спорт высших достижений</t>
  </si>
  <si>
    <t>1103</t>
  </si>
  <si>
    <t xml:space="preserve">  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</si>
  <si>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</si>
  <si>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</si>
  <si>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</si>
  <si>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 xml:space="preserve">  Обслуживание государственного внутреннего и муниципального долга</t>
  </si>
  <si>
    <t>1301</t>
  </si>
  <si>
    <t>Итого</t>
  </si>
  <si>
    <t xml:space="preserve">Условно утвержденные расходы
</t>
  </si>
  <si>
    <t>руб. (ст.5-ст.3)</t>
  </si>
  <si>
    <t>% (ст.5/ст.3*100-100)</t>
  </si>
  <si>
    <t>руб. (ст.5-ст.4)</t>
  </si>
  <si>
    <t>% (ст.5/ст.4*100-100)</t>
  </si>
  <si>
    <t xml:space="preserve">  Судебная система</t>
  </si>
  <si>
    <t>0105</t>
  </si>
  <si>
    <t>Обеспечение проведения выборов и референдумов</t>
  </si>
  <si>
    <t>0107</t>
  </si>
  <si>
    <t>-</t>
  </si>
  <si>
    <t>ЗДРАВООХРАНЕНИЕ</t>
  </si>
  <si>
    <t>Другие вопросы в области здравоохраниения</t>
  </si>
  <si>
    <t>0900</t>
  </si>
  <si>
    <t>0909</t>
  </si>
  <si>
    <t>2025 год</t>
  </si>
  <si>
    <t>0311</t>
  </si>
  <si>
    <t xml:space="preserve"> Миграционная политика</t>
  </si>
  <si>
    <t>2026 год</t>
  </si>
  <si>
    <t>Отклонение показателей 2024 года к показателям 2022 года</t>
  </si>
  <si>
    <t>Отклонение показателей 2024 года к показателям 2023 года</t>
  </si>
  <si>
    <t>0705</t>
  </si>
  <si>
    <t xml:space="preserve">  Гражданская оборона</t>
  </si>
  <si>
    <t xml:space="preserve">  Профессиональная подготовка, переподготовка и повышение квалификации</t>
  </si>
  <si>
    <t>Исполнение за 2023 год</t>
  </si>
  <si>
    <t>Исполнение за 2024 год (оценка)</t>
  </si>
  <si>
    <t>2027 год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</si>
  <si>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</si>
  <si>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</si>
  <si>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Сведения о расходах бюджета  по разделам, подразделам классификации расходов на очередной 2025 финансовый год и на плановый период 2026-2027 годов в сравнении с ожидаемым исполнением за текущий 2024 финансовый год (оценка) и отчетный 2023 финансовый год (отчет)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</si>
</sst>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5">
    <xf numFmtId="0" fontId="0" fillId="0" borderId="0"/>
    <xf numFmtId="0" fontId="2" fillId="0" borderId="0"/>
    <xf numFmtId="0" fontId="2" fillId="0" borderId="0"/>
    <xf numFmtId="0" fontId="2" fillId="0" borderId="0">
      <alignment horizontal="right"/>
    </xf>
    <xf numFmtId="0" fontId="3" fillId="0" borderId="0"/>
    <xf numFmtId="0" fontId="3" fillId="0" borderId="0"/>
    <xf numFmtId="0" fontId="2" fillId="0" borderId="0"/>
    <xf numFmtId="0" fontId="3" fillId="2" borderId="0"/>
    <xf numFmtId="0" fontId="3" fillId="0" borderId="0">
      <alignment horizontal="left" vertical="top" wrapText="1"/>
    </xf>
    <xf numFmtId="0" fontId="3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3" fillId="0" borderId="0">
      <alignment wrapText="1"/>
    </xf>
    <xf numFmtId="0" fontId="3" fillId="0" borderId="0">
      <alignment horizontal="right"/>
    </xf>
    <xf numFmtId="0" fontId="3" fillId="2" borderId="2"/>
    <xf numFmtId="0" fontId="3" fillId="0" borderId="3">
      <alignment horizontal="center" vertical="center" wrapText="1"/>
    </xf>
    <xf numFmtId="0" fontId="3" fillId="0" borderId="4"/>
    <xf numFmtId="0" fontId="3" fillId="0" borderId="3">
      <alignment horizontal="center" vertical="center" shrinkToFit="1"/>
    </xf>
    <xf numFmtId="0" fontId="3" fillId="2" borderId="5"/>
    <xf numFmtId="0" fontId="5" fillId="0" borderId="3">
      <alignment horizontal="left"/>
    </xf>
    <xf numFmtId="4" fontId="5" fillId="3" borderId="3">
      <alignment horizontal="right" vertical="top" shrinkToFit="1"/>
    </xf>
    <xf numFmtId="0" fontId="3" fillId="2" borderId="6"/>
    <xf numFmtId="0" fontId="3" fillId="0" borderId="5"/>
    <xf numFmtId="0" fontId="3" fillId="0" borderId="0">
      <alignment horizontal="left" wrapText="1"/>
    </xf>
    <xf numFmtId="49" fontId="3" fillId="0" borderId="3">
      <alignment horizontal="left" vertical="top" wrapText="1"/>
    </xf>
    <xf numFmtId="4" fontId="3" fillId="4" borderId="3">
      <alignment horizontal="right" vertical="top" shrinkToFit="1"/>
    </xf>
    <xf numFmtId="0" fontId="3" fillId="2" borderId="6">
      <alignment horizontal="center"/>
    </xf>
    <xf numFmtId="0" fontId="3" fillId="2" borderId="0">
      <alignment horizontal="center"/>
    </xf>
    <xf numFmtId="4" fontId="3" fillId="0" borderId="3">
      <alignment horizontal="right" vertical="top" shrinkToFit="1"/>
    </xf>
    <xf numFmtId="49" fontId="5" fillId="0" borderId="3">
      <alignment horizontal="left" vertical="top" wrapText="1"/>
    </xf>
    <xf numFmtId="0" fontId="3" fillId="2" borderId="0">
      <alignment horizontal="left"/>
    </xf>
    <xf numFmtId="4" fontId="3" fillId="0" borderId="4">
      <alignment horizontal="right" shrinkToFit="1"/>
    </xf>
    <xf numFmtId="4" fontId="3" fillId="0" borderId="0">
      <alignment horizontal="right" shrinkToFit="1"/>
    </xf>
    <xf numFmtId="0" fontId="3" fillId="2" borderId="5">
      <alignment horizontal="center"/>
    </xf>
    <xf numFmtId="0" fontId="1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0" fontId="3" fillId="0" borderId="0" xfId="9" applyNumberFormat="1" applyProtection="1"/>
    <xf numFmtId="0" fontId="4" fillId="0" borderId="0" xfId="11" applyNumberFormat="1" applyProtection="1">
      <alignment horizontal="center"/>
    </xf>
    <xf numFmtId="0" fontId="3" fillId="0" borderId="0" xfId="12" applyNumberFormat="1" applyProtection="1">
      <alignment wrapText="1"/>
    </xf>
    <xf numFmtId="0" fontId="3" fillId="0" borderId="0" xfId="13" applyNumberFormat="1" applyProtection="1">
      <alignment horizontal="right"/>
    </xf>
    <xf numFmtId="0" fontId="3" fillId="0" borderId="4" xfId="16" applyNumberFormat="1" applyProtection="1"/>
    <xf numFmtId="0" fontId="3" fillId="0" borderId="0" xfId="23" applyNumberFormat="1" applyProtection="1">
      <alignment horizontal="left" wrapText="1"/>
    </xf>
    <xf numFmtId="0" fontId="2" fillId="0" borderId="0" xfId="3" applyAlignment="1"/>
    <xf numFmtId="49" fontId="3" fillId="5" borderId="3" xfId="24" applyFill="1" applyProtection="1">
      <alignment horizontal="left" vertical="top" wrapText="1"/>
    </xf>
    <xf numFmtId="4" fontId="3" fillId="5" borderId="3" xfId="25" applyFill="1" applyProtection="1">
      <alignment horizontal="right" vertical="top" shrinkToFit="1"/>
    </xf>
    <xf numFmtId="0" fontId="3" fillId="0" borderId="0" xfId="16" applyNumberFormat="1" applyBorder="1" applyProtection="1"/>
    <xf numFmtId="0" fontId="6" fillId="5" borderId="0" xfId="3" applyNumberFormat="1" applyFont="1" applyFill="1" applyAlignment="1" applyProtection="1"/>
    <xf numFmtId="0" fontId="6" fillId="5" borderId="0" xfId="3" applyFont="1" applyFill="1" applyAlignment="1"/>
    <xf numFmtId="0" fontId="6" fillId="5" borderId="0" xfId="34" applyFont="1" applyFill="1" applyAlignment="1">
      <alignment horizontal="center"/>
    </xf>
    <xf numFmtId="0" fontId="6" fillId="5" borderId="0" xfId="34" applyFont="1" applyFill="1"/>
    <xf numFmtId="0" fontId="7" fillId="5" borderId="0" xfId="34" applyFont="1" applyFill="1" applyAlignment="1" applyProtection="1">
      <alignment horizontal="right"/>
      <protection locked="0"/>
    </xf>
    <xf numFmtId="0" fontId="8" fillId="5" borderId="0" xfId="8" applyNumberFormat="1" applyFont="1" applyFill="1" applyAlignment="1" applyProtection="1">
      <alignment vertical="top" wrapText="1"/>
    </xf>
    <xf numFmtId="0" fontId="8" fillId="5" borderId="0" xfId="8" applyFont="1" applyFill="1" applyAlignment="1">
      <alignment vertical="top" wrapText="1"/>
    </xf>
    <xf numFmtId="0" fontId="8" fillId="5" borderId="0" xfId="12" applyNumberFormat="1" applyFont="1" applyFill="1" applyAlignment="1" applyProtection="1">
      <alignment wrapText="1"/>
    </xf>
    <xf numFmtId="0" fontId="8" fillId="5" borderId="0" xfId="12" applyFont="1" applyFill="1" applyAlignment="1">
      <alignment wrapText="1"/>
    </xf>
    <xf numFmtId="0" fontId="8" fillId="5" borderId="3" xfId="15" applyFont="1" applyFill="1">
      <alignment horizontal="center" vertical="center" wrapText="1"/>
    </xf>
    <xf numFmtId="0" fontId="8" fillId="5" borderId="7" xfId="15" applyFont="1" applyFill="1" applyBorder="1">
      <alignment horizontal="center" vertical="center" wrapText="1"/>
    </xf>
    <xf numFmtId="0" fontId="8" fillId="5" borderId="1" xfId="15" applyFont="1" applyFill="1" applyBorder="1">
      <alignment horizontal="center" vertical="center" wrapText="1"/>
    </xf>
    <xf numFmtId="0" fontId="8" fillId="5" borderId="3" xfId="17" applyNumberFormat="1" applyFont="1" applyFill="1" applyProtection="1">
      <alignment horizontal="center" vertical="center" shrinkToFit="1"/>
    </xf>
    <xf numFmtId="0" fontId="8" fillId="5" borderId="8" xfId="17" applyNumberFormat="1" applyFont="1" applyFill="1" applyBorder="1" applyProtection="1">
      <alignment horizontal="center" vertical="center" shrinkToFit="1"/>
    </xf>
    <xf numFmtId="49" fontId="10" fillId="5" borderId="3" xfId="24" applyFont="1" applyFill="1" applyProtection="1">
      <alignment horizontal="left" vertical="top" wrapText="1"/>
    </xf>
    <xf numFmtId="43" fontId="10" fillId="5" borderId="3" xfId="24" applyNumberFormat="1" applyFont="1" applyFill="1" applyAlignment="1" applyProtection="1">
      <alignment vertical="top" wrapText="1"/>
    </xf>
    <xf numFmtId="4" fontId="10" fillId="5" borderId="3" xfId="24" applyNumberFormat="1" applyFont="1" applyFill="1" applyAlignment="1" applyProtection="1">
      <alignment horizontal="right" wrapText="1"/>
    </xf>
    <xf numFmtId="43" fontId="10" fillId="5" borderId="3" xfId="25" applyNumberFormat="1" applyFont="1" applyFill="1" applyAlignment="1" applyProtection="1">
      <alignment horizontal="right" shrinkToFit="1"/>
    </xf>
    <xf numFmtId="43" fontId="10" fillId="5" borderId="3" xfId="24" applyNumberFormat="1" applyFont="1" applyFill="1" applyAlignment="1" applyProtection="1">
      <alignment horizontal="right" wrapText="1"/>
    </xf>
    <xf numFmtId="49" fontId="8" fillId="5" borderId="3" xfId="24" applyFont="1" applyFill="1" applyProtection="1">
      <alignment horizontal="left" vertical="top" wrapText="1"/>
    </xf>
    <xf numFmtId="4" fontId="8" fillId="5" borderId="3" xfId="25" applyNumberFormat="1" applyFont="1" applyFill="1" applyAlignment="1" applyProtection="1">
      <alignment horizontal="right" shrinkToFit="1"/>
    </xf>
    <xf numFmtId="43" fontId="8" fillId="5" borderId="3" xfId="25" applyNumberFormat="1" applyFont="1" applyFill="1" applyAlignment="1" applyProtection="1">
      <alignment horizontal="right" shrinkToFit="1"/>
    </xf>
    <xf numFmtId="49" fontId="10" fillId="5" borderId="3" xfId="24" applyNumberFormat="1" applyFont="1" applyFill="1" applyProtection="1">
      <alignment horizontal="left" vertical="top" wrapText="1"/>
    </xf>
    <xf numFmtId="49" fontId="8" fillId="5" borderId="3" xfId="24" applyNumberFormat="1" applyFont="1" applyFill="1" applyProtection="1">
      <alignment horizontal="left" vertical="top" wrapText="1"/>
    </xf>
    <xf numFmtId="4" fontId="10" fillId="5" borderId="3" xfId="25" applyNumberFormat="1" applyFont="1" applyFill="1" applyAlignment="1" applyProtection="1">
      <alignment horizontal="right" shrinkToFit="1"/>
    </xf>
    <xf numFmtId="0" fontId="10" fillId="5" borderId="3" xfId="19" applyNumberFormat="1" applyFont="1" applyFill="1" applyProtection="1">
      <alignment horizontal="left"/>
    </xf>
    <xf numFmtId="43" fontId="10" fillId="5" borderId="3" xfId="20" applyNumberFormat="1" applyFont="1" applyFill="1" applyAlignment="1" applyProtection="1">
      <alignment horizontal="right" shrinkToFit="1"/>
    </xf>
    <xf numFmtId="0" fontId="8" fillId="5" borderId="5" xfId="22" applyNumberFormat="1" applyFont="1" applyFill="1" applyProtection="1"/>
    <xf numFmtId="0" fontId="6" fillId="5" borderId="0" xfId="0" applyFont="1" applyFill="1" applyProtection="1">
      <protection locked="0"/>
    </xf>
    <xf numFmtId="43" fontId="6" fillId="5" borderId="0" xfId="0" applyNumberFormat="1" applyFont="1" applyFill="1" applyProtection="1">
      <protection locked="0"/>
    </xf>
    <xf numFmtId="43" fontId="11" fillId="5" borderId="3" xfId="24" applyNumberFormat="1" applyFont="1" applyFill="1" applyAlignment="1" applyProtection="1">
      <alignment horizontal="right" vertical="center" wrapText="1"/>
    </xf>
    <xf numFmtId="4" fontId="7" fillId="5" borderId="1" xfId="19" applyNumberFormat="1" applyFont="1" applyFill="1" applyBorder="1" applyAlignment="1" applyProtection="1">
      <alignment horizontal="right" vertical="center" shrinkToFit="1"/>
    </xf>
    <xf numFmtId="0" fontId="7" fillId="5" borderId="0" xfId="8" applyFont="1" applyFill="1" applyAlignment="1">
      <alignment vertical="top" wrapText="1"/>
    </xf>
    <xf numFmtId="0" fontId="7" fillId="5" borderId="0" xfId="12" applyFont="1" applyFill="1" applyAlignment="1">
      <alignment wrapText="1"/>
    </xf>
    <xf numFmtId="0" fontId="7" fillId="5" borderId="3" xfId="17" applyNumberFormat="1" applyFont="1" applyFill="1" applyProtection="1">
      <alignment horizontal="center" vertical="center" shrinkToFit="1"/>
    </xf>
    <xf numFmtId="43" fontId="11" fillId="5" borderId="3" xfId="24" applyNumberFormat="1" applyFont="1" applyFill="1" applyAlignment="1" applyProtection="1">
      <alignment vertical="top" wrapText="1"/>
    </xf>
    <xf numFmtId="4" fontId="1" fillId="0" borderId="1" xfId="0" applyNumberFormat="1" applyFont="1" applyFill="1" applyBorder="1" applyAlignment="1">
      <alignment horizontal="right" vertical="top" shrinkToFit="1"/>
    </xf>
    <xf numFmtId="43" fontId="7" fillId="5" borderId="3" xfId="24" applyNumberFormat="1" applyFont="1" applyFill="1" applyAlignment="1" applyProtection="1">
      <alignment horizontal="right" vertical="center" wrapText="1"/>
    </xf>
    <xf numFmtId="43" fontId="11" fillId="5" borderId="3" xfId="20" applyNumberFormat="1" applyFont="1" applyFill="1" applyAlignment="1" applyProtection="1">
      <alignment horizontal="right" vertical="center" shrinkToFit="1"/>
    </xf>
    <xf numFmtId="0" fontId="7" fillId="5" borderId="5" xfId="22" applyNumberFormat="1" applyFont="1" applyFill="1" applyProtection="1"/>
    <xf numFmtId="4" fontId="7" fillId="5" borderId="1" xfId="21" applyNumberFormat="1" applyFont="1" applyFill="1" applyBorder="1" applyAlignment="1" applyProtection="1">
      <alignment horizontal="right" vertical="center" shrinkToFit="1"/>
    </xf>
    <xf numFmtId="43" fontId="7" fillId="5" borderId="3" xfId="25" applyNumberFormat="1" applyFont="1" applyFill="1" applyAlignment="1" applyProtection="1">
      <alignment horizontal="right" vertical="center" shrinkToFit="1"/>
    </xf>
    <xf numFmtId="4" fontId="13" fillId="5" borderId="5" xfId="22" applyNumberFormat="1" applyFont="1" applyFill="1" applyAlignment="1" applyProtection="1">
      <alignment horizontal="right" vertical="top" shrinkToFit="1"/>
    </xf>
    <xf numFmtId="43" fontId="11" fillId="5" borderId="3" xfId="20" applyNumberFormat="1" applyFont="1" applyFill="1" applyAlignment="1" applyProtection="1">
      <alignment vertical="center" shrinkToFit="1"/>
    </xf>
    <xf numFmtId="43" fontId="10" fillId="5" borderId="3" xfId="20" applyNumberFormat="1" applyFont="1" applyFill="1" applyAlignment="1" applyProtection="1">
      <alignment shrinkToFit="1"/>
    </xf>
    <xf numFmtId="0" fontId="9" fillId="5" borderId="0" xfId="10" applyNumberFormat="1" applyFont="1" applyFill="1" applyProtection="1">
      <alignment horizontal="center" wrapText="1"/>
    </xf>
    <xf numFmtId="0" fontId="9" fillId="5" borderId="0" xfId="10" applyFont="1" applyFill="1">
      <alignment horizontal="center" wrapText="1"/>
    </xf>
    <xf numFmtId="0" fontId="12" fillId="5" borderId="0" xfId="10" applyFont="1" applyFill="1">
      <alignment horizontal="center" wrapText="1"/>
    </xf>
    <xf numFmtId="0" fontId="8" fillId="5" borderId="0" xfId="13" applyNumberFormat="1" applyFont="1" applyFill="1" applyProtection="1">
      <alignment horizontal="right"/>
    </xf>
    <xf numFmtId="0" fontId="8" fillId="5" borderId="0" xfId="13" applyFont="1" applyFill="1">
      <alignment horizontal="right"/>
    </xf>
    <xf numFmtId="0" fontId="7" fillId="5" borderId="0" xfId="13" applyFont="1" applyFill="1">
      <alignment horizontal="right"/>
    </xf>
    <xf numFmtId="0" fontId="7" fillId="5" borderId="3" xfId="15" applyNumberFormat="1" applyFont="1" applyFill="1" applyProtection="1">
      <alignment horizontal="center" vertical="center" wrapText="1"/>
    </xf>
    <xf numFmtId="0" fontId="7" fillId="5" borderId="3" xfId="15" applyFont="1" applyFill="1">
      <alignment horizontal="center" vertical="center" wrapText="1"/>
    </xf>
    <xf numFmtId="0" fontId="8" fillId="5" borderId="7" xfId="15" applyNumberFormat="1" applyFont="1" applyFill="1" applyBorder="1" applyAlignment="1" applyProtection="1">
      <alignment horizontal="center" vertical="center" wrapText="1"/>
    </xf>
    <xf numFmtId="0" fontId="8" fillId="5" borderId="6" xfId="15" applyNumberFormat="1" applyFont="1" applyFill="1" applyBorder="1" applyAlignment="1" applyProtection="1">
      <alignment horizontal="center" vertical="center" wrapText="1"/>
    </xf>
    <xf numFmtId="0" fontId="8" fillId="5" borderId="1" xfId="15" applyNumberFormat="1" applyFont="1" applyFill="1" applyBorder="1" applyAlignment="1" applyProtection="1">
      <alignment horizontal="center" vertical="center" wrapText="1"/>
    </xf>
    <xf numFmtId="0" fontId="8" fillId="5" borderId="0" xfId="23" applyNumberFormat="1" applyFont="1" applyFill="1" applyProtection="1">
      <alignment horizontal="left" wrapText="1"/>
    </xf>
    <xf numFmtId="0" fontId="7" fillId="5" borderId="0" xfId="23" applyNumberFormat="1" applyFont="1" applyFill="1" applyProtection="1">
      <alignment horizontal="left" wrapText="1"/>
    </xf>
    <xf numFmtId="0" fontId="8" fillId="0" borderId="0" xfId="23" applyNumberFormat="1" applyFont="1" applyProtection="1">
      <alignment horizontal="left" wrapText="1"/>
    </xf>
    <xf numFmtId="0" fontId="8" fillId="0" borderId="0" xfId="23" applyFont="1">
      <alignment horizontal="left" wrapText="1"/>
    </xf>
    <xf numFmtId="0" fontId="3" fillId="0" borderId="0" xfId="23">
      <alignment horizontal="left" wrapText="1"/>
    </xf>
    <xf numFmtId="0" fontId="8" fillId="5" borderId="3" xfId="15" applyNumberFormat="1" applyFont="1" applyFill="1" applyProtection="1">
      <alignment horizontal="center" vertical="center" wrapText="1"/>
    </xf>
    <xf numFmtId="0" fontId="8" fillId="5" borderId="3" xfId="15" applyFont="1" applyFill="1">
      <alignment horizontal="center" vertical="center" wrapText="1"/>
    </xf>
  </cellXfs>
  <cellStyles count="35">
    <cellStyle name="br" xfId="1"/>
    <cellStyle name="col" xfId="2"/>
    <cellStyle name="dtrow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Обычный" xfId="0" builtinId="0"/>
    <cellStyle name="Обычный 2" xfId="3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 fitToPage="1"/>
  </sheetPr>
  <dimension ref="A1:T67"/>
  <sheetViews>
    <sheetView showGridLines="0" tabSelected="1" workbookViewId="0">
      <pane ySplit="8" topLeftCell="A9" activePane="bottomLeft" state="frozen"/>
      <selection pane="bottomLeft" activeCell="B66" sqref="B66"/>
    </sheetView>
  </sheetViews>
  <sheetFormatPr defaultColWidth="9.140625" defaultRowHeight="15" outlineLevelRow="6" x14ac:dyDescent="0.25"/>
  <cols>
    <col min="1" max="1" width="65.85546875" style="40" customWidth="1"/>
    <col min="2" max="2" width="7.140625" style="40" customWidth="1"/>
    <col min="3" max="3" width="17.7109375" style="40" customWidth="1"/>
    <col min="4" max="4" width="18" style="40" customWidth="1"/>
    <col min="5" max="5" width="17.5703125" style="40" customWidth="1"/>
    <col min="6" max="6" width="17.42578125" style="40" customWidth="1"/>
    <col min="7" max="7" width="17.5703125" style="40" customWidth="1"/>
    <col min="8" max="8" width="17.85546875" style="40" customWidth="1"/>
    <col min="9" max="10" width="16.7109375" style="40" customWidth="1"/>
    <col min="11" max="11" width="17.28515625" style="40" customWidth="1"/>
    <col min="12" max="17" width="0.140625" style="1" customWidth="1"/>
    <col min="18" max="18" width="9.140625" style="1" customWidth="1"/>
    <col min="19" max="16384" width="9.140625" style="1"/>
  </cols>
  <sheetData>
    <row r="1" spans="1:20" ht="12.75" customHeight="1" x14ac:dyDescent="0.25">
      <c r="A1" s="12"/>
      <c r="B1" s="13"/>
      <c r="C1" s="14"/>
      <c r="D1" s="14"/>
      <c r="E1" s="15"/>
      <c r="F1" s="15"/>
      <c r="G1" s="15"/>
      <c r="H1" s="15"/>
      <c r="I1" s="15"/>
      <c r="J1" s="15"/>
      <c r="K1" s="16"/>
      <c r="L1" s="8"/>
      <c r="M1" s="8"/>
      <c r="N1" s="8"/>
      <c r="O1" s="8"/>
      <c r="P1" s="8"/>
      <c r="Q1" s="8"/>
      <c r="R1" s="8"/>
      <c r="S1" s="8"/>
      <c r="T1" s="8"/>
    </row>
    <row r="2" spans="1:20" ht="15" customHeight="1" x14ac:dyDescent="0.25">
      <c r="A2" s="17"/>
      <c r="B2" s="18"/>
      <c r="C2" s="44"/>
      <c r="D2" s="18"/>
      <c r="E2" s="18"/>
      <c r="F2" s="18"/>
      <c r="G2" s="18"/>
      <c r="H2" s="18"/>
      <c r="I2" s="18"/>
      <c r="J2" s="18"/>
      <c r="K2" s="18"/>
      <c r="L2" s="2"/>
      <c r="M2" s="2"/>
      <c r="N2" s="2"/>
      <c r="O2" s="2"/>
      <c r="P2" s="2"/>
      <c r="Q2" s="2"/>
      <c r="R2" s="2"/>
    </row>
    <row r="3" spans="1:20" ht="63.2" customHeight="1" x14ac:dyDescent="0.25">
      <c r="A3" s="57" t="s">
        <v>123</v>
      </c>
      <c r="B3" s="58"/>
      <c r="C3" s="59"/>
      <c r="D3" s="58"/>
      <c r="E3" s="58"/>
      <c r="F3" s="58"/>
      <c r="G3" s="58"/>
      <c r="H3" s="58"/>
      <c r="I3" s="58"/>
      <c r="J3" s="58"/>
      <c r="K3" s="58"/>
      <c r="L3" s="3"/>
      <c r="M3" s="3"/>
      <c r="N3" s="3"/>
      <c r="O3" s="3"/>
      <c r="P3" s="3"/>
      <c r="Q3" s="3"/>
      <c r="R3" s="3"/>
    </row>
    <row r="4" spans="1:20" ht="15.4" customHeight="1" x14ac:dyDescent="0.25">
      <c r="A4" s="19"/>
      <c r="B4" s="20"/>
      <c r="C4" s="45"/>
      <c r="D4" s="20"/>
      <c r="E4" s="20"/>
      <c r="F4" s="20"/>
      <c r="G4" s="20"/>
      <c r="H4" s="20"/>
      <c r="I4" s="20"/>
      <c r="J4" s="20"/>
      <c r="K4" s="20"/>
      <c r="L4" s="4"/>
      <c r="M4" s="4"/>
      <c r="N4" s="4"/>
      <c r="O4" s="4"/>
      <c r="P4" s="4"/>
      <c r="Q4" s="4"/>
      <c r="R4" s="4"/>
    </row>
    <row r="5" spans="1:20" ht="12.75" customHeight="1" x14ac:dyDescent="0.25">
      <c r="A5" s="60" t="s">
        <v>0</v>
      </c>
      <c r="B5" s="61"/>
      <c r="C5" s="62"/>
      <c r="D5" s="61"/>
      <c r="E5" s="61"/>
      <c r="F5" s="61"/>
      <c r="G5" s="61"/>
      <c r="H5" s="61"/>
      <c r="I5" s="61"/>
      <c r="J5" s="61"/>
      <c r="K5" s="61"/>
      <c r="L5" s="5"/>
      <c r="M5" s="5"/>
      <c r="N5" s="5"/>
      <c r="O5" s="5"/>
      <c r="P5" s="5"/>
      <c r="Q5" s="5"/>
      <c r="R5" s="5"/>
    </row>
    <row r="6" spans="1:20" ht="25.5" customHeight="1" x14ac:dyDescent="0.25">
      <c r="A6" s="73" t="s">
        <v>1</v>
      </c>
      <c r="B6" s="73" t="s">
        <v>2</v>
      </c>
      <c r="C6" s="63" t="s">
        <v>118</v>
      </c>
      <c r="D6" s="63" t="s">
        <v>119</v>
      </c>
      <c r="E6" s="63" t="s">
        <v>109</v>
      </c>
      <c r="F6" s="63" t="s">
        <v>112</v>
      </c>
      <c r="G6" s="63" t="s">
        <v>120</v>
      </c>
      <c r="H6" s="65" t="s">
        <v>113</v>
      </c>
      <c r="I6" s="66"/>
      <c r="J6" s="67" t="s">
        <v>114</v>
      </c>
      <c r="K6" s="67"/>
      <c r="L6" s="11"/>
      <c r="M6" s="2"/>
      <c r="N6" s="2"/>
      <c r="O6" s="2"/>
      <c r="P6" s="2"/>
      <c r="Q6" s="2"/>
      <c r="R6" s="2"/>
    </row>
    <row r="7" spans="1:20" ht="24" customHeight="1" x14ac:dyDescent="0.25">
      <c r="A7" s="74"/>
      <c r="B7" s="74"/>
      <c r="C7" s="64"/>
      <c r="D7" s="64"/>
      <c r="E7" s="64"/>
      <c r="F7" s="64"/>
      <c r="G7" s="64"/>
      <c r="H7" s="21" t="s">
        <v>96</v>
      </c>
      <c r="I7" s="22" t="s">
        <v>97</v>
      </c>
      <c r="J7" s="22" t="s">
        <v>98</v>
      </c>
      <c r="K7" s="23" t="s">
        <v>99</v>
      </c>
      <c r="L7" s="11"/>
      <c r="M7" s="2"/>
      <c r="N7" s="2"/>
      <c r="O7" s="2"/>
      <c r="P7" s="2"/>
      <c r="Q7" s="2"/>
      <c r="R7" s="2"/>
    </row>
    <row r="8" spans="1:20" ht="12.75" customHeight="1" x14ac:dyDescent="0.25">
      <c r="A8" s="24">
        <v>1</v>
      </c>
      <c r="B8" s="24">
        <v>2</v>
      </c>
      <c r="C8" s="46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5">
        <v>10</v>
      </c>
      <c r="K8" s="25">
        <v>11</v>
      </c>
      <c r="L8" s="6"/>
      <c r="M8" s="2"/>
      <c r="N8" s="2"/>
      <c r="O8" s="2"/>
      <c r="P8" s="2"/>
      <c r="Q8" s="2"/>
      <c r="R8" s="2"/>
    </row>
    <row r="9" spans="1:20" ht="15" customHeight="1" x14ac:dyDescent="0.25">
      <c r="A9" s="26" t="s">
        <v>3</v>
      </c>
      <c r="B9" s="26" t="s">
        <v>4</v>
      </c>
      <c r="C9" s="47">
        <f>SUBTOTAL(9,C10:C17)</f>
        <v>223400548.35000002</v>
      </c>
      <c r="D9" s="27">
        <f>SUBTOTAL(9,D10:D17)</f>
        <v>276650517.31</v>
      </c>
      <c r="E9" s="27">
        <f>SUBTOTAL(9,E10:E17)</f>
        <v>293640254.87</v>
      </c>
      <c r="F9" s="27">
        <f>SUBTOTAL(9,F10:F17)</f>
        <v>277828467.88</v>
      </c>
      <c r="G9" s="27">
        <f>SUBTOTAL(9,G10:G17)</f>
        <v>275663631.94</v>
      </c>
      <c r="H9" s="28">
        <f>SUBTOTAL(9,H10:H17)</f>
        <v>70239706.519999996</v>
      </c>
      <c r="I9" s="29">
        <f>ROUND(E9/C9*100-100,1)</f>
        <v>31.4</v>
      </c>
      <c r="J9" s="30">
        <f>SUBTOTAL(9,J10:J17)</f>
        <v>16989737.559999999</v>
      </c>
      <c r="K9" s="29">
        <f>ROUND(E9/D9*100-100,1)</f>
        <v>6.1</v>
      </c>
      <c r="L9" s="6"/>
      <c r="M9" s="2"/>
      <c r="N9" s="2"/>
      <c r="O9" s="2"/>
      <c r="P9" s="2"/>
      <c r="Q9" s="2"/>
      <c r="R9" s="2"/>
      <c r="S9" s="2"/>
    </row>
    <row r="10" spans="1:20" ht="27" customHeight="1" outlineLevel="1" x14ac:dyDescent="0.25">
      <c r="A10" s="31" t="s">
        <v>5</v>
      </c>
      <c r="B10" s="31" t="s">
        <v>6</v>
      </c>
      <c r="C10" s="48">
        <f>2913487.36</f>
        <v>2913487.36</v>
      </c>
      <c r="D10" s="43">
        <v>3930903</v>
      </c>
      <c r="E10" s="52">
        <v>3058010</v>
      </c>
      <c r="F10" s="52">
        <v>3058010</v>
      </c>
      <c r="G10" s="52">
        <v>3058010</v>
      </c>
      <c r="H10" s="32">
        <f>E10-C10</f>
        <v>144522.64000000013</v>
      </c>
      <c r="I10" s="33">
        <f>ROUND(E10/C10*100-100,1)</f>
        <v>5</v>
      </c>
      <c r="J10" s="33">
        <f>E10-D10</f>
        <v>-872893</v>
      </c>
      <c r="K10" s="33">
        <f>ROUND(E10/D10*100-100,1)</f>
        <v>-22.2</v>
      </c>
      <c r="L10" s="6"/>
      <c r="M10" s="2"/>
      <c r="N10" s="2"/>
      <c r="O10" s="2"/>
      <c r="P10" s="2"/>
      <c r="Q10" s="2"/>
      <c r="R10" s="2"/>
      <c r="S10" s="2"/>
    </row>
    <row r="11" spans="1:20" ht="27" customHeight="1" outlineLevel="1" x14ac:dyDescent="0.25">
      <c r="A11" s="31" t="s">
        <v>7</v>
      </c>
      <c r="B11" s="31" t="s">
        <v>8</v>
      </c>
      <c r="C11" s="48">
        <f>8130715.18</f>
        <v>8130715.1799999997</v>
      </c>
      <c r="D11" s="43">
        <v>10483484</v>
      </c>
      <c r="E11" s="52">
        <v>12312982</v>
      </c>
      <c r="F11" s="52">
        <v>12275788</v>
      </c>
      <c r="G11" s="52">
        <v>12302082</v>
      </c>
      <c r="H11" s="32">
        <f>E11-C11</f>
        <v>4182266.8200000003</v>
      </c>
      <c r="I11" s="33">
        <f>ROUND(E11/C11*100-100,1)</f>
        <v>51.4</v>
      </c>
      <c r="J11" s="33">
        <f>E11-D11</f>
        <v>1829498</v>
      </c>
      <c r="K11" s="33">
        <f>ROUND(E11/D11*100-100,1)</f>
        <v>17.5</v>
      </c>
      <c r="L11" s="6"/>
      <c r="M11" s="2"/>
      <c r="N11" s="2"/>
      <c r="O11" s="2"/>
      <c r="P11" s="2"/>
      <c r="Q11" s="2"/>
      <c r="R11" s="2"/>
      <c r="S11" s="2"/>
    </row>
    <row r="12" spans="1:20" ht="27" customHeight="1" outlineLevel="1" x14ac:dyDescent="0.25">
      <c r="A12" s="31" t="s">
        <v>9</v>
      </c>
      <c r="B12" s="31" t="s">
        <v>10</v>
      </c>
      <c r="C12" s="48">
        <f>121357099.61</f>
        <v>121357099.61</v>
      </c>
      <c r="D12" s="43">
        <v>130137855.09999999</v>
      </c>
      <c r="E12" s="52">
        <v>126657788.23</v>
      </c>
      <c r="F12" s="52">
        <v>124059516.34</v>
      </c>
      <c r="G12" s="52">
        <v>122056367.34</v>
      </c>
      <c r="H12" s="32">
        <f>E12-C12</f>
        <v>5300688.6200000048</v>
      </c>
      <c r="I12" s="33">
        <f>ROUND(E12/C12*100-100,1)</f>
        <v>4.4000000000000004</v>
      </c>
      <c r="J12" s="33">
        <f>E12-D12</f>
        <v>-3480066.8699999899</v>
      </c>
      <c r="K12" s="33">
        <f>ROUND(E12/D12*100-100,1)</f>
        <v>-2.7</v>
      </c>
      <c r="L12" s="6"/>
      <c r="M12" s="2"/>
      <c r="N12" s="2"/>
      <c r="O12" s="2"/>
      <c r="P12" s="2"/>
      <c r="Q12" s="2"/>
      <c r="R12" s="2"/>
      <c r="S12" s="2"/>
    </row>
    <row r="13" spans="1:20" outlineLevel="6" x14ac:dyDescent="0.25">
      <c r="A13" s="31" t="s">
        <v>100</v>
      </c>
      <c r="B13" s="31" t="s">
        <v>101</v>
      </c>
      <c r="C13" s="48">
        <f>3918.76</f>
        <v>3918.76</v>
      </c>
      <c r="D13" s="43">
        <v>12352.24</v>
      </c>
      <c r="E13" s="52">
        <v>13038.47</v>
      </c>
      <c r="F13" s="52">
        <v>81183.44</v>
      </c>
      <c r="G13" s="52">
        <v>12704.38</v>
      </c>
      <c r="H13" s="32">
        <f>E13-C13</f>
        <v>9119.7099999999991</v>
      </c>
      <c r="I13" s="33">
        <f t="shared" ref="I13:I14" si="0">ROUND(E13/C13*100-100,1)</f>
        <v>232.7</v>
      </c>
      <c r="J13" s="33">
        <f t="shared" ref="J13:J14" si="1">E13-D13</f>
        <v>686.22999999999956</v>
      </c>
      <c r="K13" s="33">
        <f>ROUND(E13/D13*100-100,1)</f>
        <v>5.6</v>
      </c>
      <c r="L13" s="6"/>
      <c r="M13" s="2"/>
      <c r="N13" s="2"/>
      <c r="O13" s="2"/>
      <c r="P13" s="2"/>
      <c r="Q13" s="2"/>
      <c r="R13" s="2"/>
      <c r="S13" s="2"/>
    </row>
    <row r="14" spans="1:20" ht="27" customHeight="1" outlineLevel="1" x14ac:dyDescent="0.25">
      <c r="A14" s="31" t="s">
        <v>11</v>
      </c>
      <c r="B14" s="31" t="s">
        <v>12</v>
      </c>
      <c r="C14" s="48">
        <f>5322400.97</f>
        <v>5322400.97</v>
      </c>
      <c r="D14" s="43">
        <v>6508910</v>
      </c>
      <c r="E14" s="52">
        <v>6529979</v>
      </c>
      <c r="F14" s="52">
        <v>6779763</v>
      </c>
      <c r="G14" s="52">
        <v>6593129</v>
      </c>
      <c r="H14" s="32">
        <f>E14-C14</f>
        <v>1207578.0300000003</v>
      </c>
      <c r="I14" s="33">
        <f t="shared" si="0"/>
        <v>22.7</v>
      </c>
      <c r="J14" s="33">
        <f t="shared" si="1"/>
        <v>21069</v>
      </c>
      <c r="K14" s="33">
        <f t="shared" ref="K14" si="2">ROUND(E14/D14*100-100,1)</f>
        <v>0.3</v>
      </c>
      <c r="L14" s="6"/>
      <c r="M14" s="2"/>
      <c r="N14" s="2"/>
      <c r="O14" s="2"/>
      <c r="P14" s="2"/>
      <c r="Q14" s="2"/>
      <c r="R14" s="2"/>
      <c r="S14" s="2"/>
    </row>
    <row r="15" spans="1:20" outlineLevel="6" x14ac:dyDescent="0.25">
      <c r="A15" s="31" t="s">
        <v>102</v>
      </c>
      <c r="B15" s="31" t="s">
        <v>103</v>
      </c>
      <c r="C15" s="48"/>
      <c r="D15" s="43">
        <v>7303800</v>
      </c>
      <c r="E15" s="52"/>
      <c r="F15" s="52"/>
      <c r="G15" s="52"/>
      <c r="H15" s="32">
        <f>E15-C15</f>
        <v>0</v>
      </c>
      <c r="I15" s="33" t="s">
        <v>104</v>
      </c>
      <c r="J15" s="33">
        <f>E15-D15</f>
        <v>-7303800</v>
      </c>
      <c r="K15" s="33">
        <f t="shared" ref="K15" si="3">ROUND(E15/D15*100-100,1)</f>
        <v>-100</v>
      </c>
      <c r="L15" s="6"/>
      <c r="M15" s="2"/>
      <c r="N15" s="2"/>
      <c r="O15" s="2"/>
      <c r="P15" s="2"/>
      <c r="Q15" s="2"/>
      <c r="R15" s="2"/>
      <c r="S15" s="2"/>
    </row>
    <row r="16" spans="1:20" ht="15" customHeight="1" outlineLevel="1" x14ac:dyDescent="0.25">
      <c r="A16" s="31" t="s">
        <v>13</v>
      </c>
      <c r="B16" s="31" t="s">
        <v>14</v>
      </c>
      <c r="C16" s="49"/>
      <c r="D16" s="43">
        <v>2796270.64</v>
      </c>
      <c r="E16" s="52">
        <v>5000000</v>
      </c>
      <c r="F16" s="52">
        <v>5000000</v>
      </c>
      <c r="G16" s="52">
        <v>5000000</v>
      </c>
      <c r="H16" s="32">
        <f>E16-C16</f>
        <v>5000000</v>
      </c>
      <c r="I16" s="33" t="s">
        <v>104</v>
      </c>
      <c r="J16" s="33">
        <f>E16-D16</f>
        <v>2203729.36</v>
      </c>
      <c r="K16" s="33">
        <f>ROUND(E16/D16*100-100,1)</f>
        <v>78.8</v>
      </c>
      <c r="L16" s="6"/>
      <c r="M16" s="2"/>
      <c r="N16" s="2"/>
      <c r="O16" s="2"/>
      <c r="P16" s="2"/>
      <c r="Q16" s="2"/>
      <c r="R16" s="2"/>
      <c r="S16" s="2"/>
    </row>
    <row r="17" spans="1:19" ht="15" customHeight="1" outlineLevel="1" x14ac:dyDescent="0.25">
      <c r="A17" s="31" t="s">
        <v>15</v>
      </c>
      <c r="B17" s="31" t="s">
        <v>16</v>
      </c>
      <c r="C17" s="48">
        <f>81079362.88+65375.28+13000+436432.68+4078755.63</f>
        <v>85672926.469999999</v>
      </c>
      <c r="D17" s="49">
        <v>115476942.33</v>
      </c>
      <c r="E17" s="49">
        <v>140068457.16999999</v>
      </c>
      <c r="F17" s="49">
        <v>126574207.09999999</v>
      </c>
      <c r="G17" s="49">
        <v>126641339.22</v>
      </c>
      <c r="H17" s="32">
        <f>E17-C17</f>
        <v>54395530.699999988</v>
      </c>
      <c r="I17" s="33">
        <f>ROUND(E17/C17*100-100,1)</f>
        <v>63.5</v>
      </c>
      <c r="J17" s="33">
        <f>E17-D17</f>
        <v>24591514.839999989</v>
      </c>
      <c r="K17" s="33">
        <f>ROUND(E17/D17*100-100,1)</f>
        <v>21.3</v>
      </c>
      <c r="L17" s="6"/>
      <c r="M17" s="2"/>
      <c r="N17" s="2"/>
      <c r="O17" s="2"/>
      <c r="P17" s="2"/>
      <c r="Q17" s="2"/>
      <c r="R17" s="2"/>
      <c r="S17" s="2"/>
    </row>
    <row r="18" spans="1:19" ht="15" customHeight="1" x14ac:dyDescent="0.25">
      <c r="A18" s="26" t="s">
        <v>17</v>
      </c>
      <c r="B18" s="26" t="s">
        <v>18</v>
      </c>
      <c r="C18" s="42">
        <f>C19</f>
        <v>7529300.4400000004</v>
      </c>
      <c r="D18" s="42">
        <f t="shared" ref="D18:J18" si="4">D19</f>
        <v>8032776.7699999996</v>
      </c>
      <c r="E18" s="42">
        <f t="shared" si="4"/>
        <v>10614176.83</v>
      </c>
      <c r="F18" s="42">
        <f t="shared" si="4"/>
        <v>11683959.5</v>
      </c>
      <c r="G18" s="42">
        <f t="shared" si="4"/>
        <v>12126590.210000001</v>
      </c>
      <c r="H18" s="28">
        <f t="shared" si="4"/>
        <v>3084876.3899999997</v>
      </c>
      <c r="I18" s="29">
        <f>ROUND(E18/C18*100-100,1)</f>
        <v>41</v>
      </c>
      <c r="J18" s="30">
        <f t="shared" si="4"/>
        <v>2581400.0600000005</v>
      </c>
      <c r="K18" s="29">
        <f>ROUND(E18/D18*100-100,1)</f>
        <v>32.1</v>
      </c>
      <c r="L18" s="6"/>
      <c r="M18" s="2"/>
      <c r="N18" s="2"/>
      <c r="O18" s="2"/>
      <c r="P18" s="2"/>
      <c r="Q18" s="2"/>
      <c r="R18" s="2"/>
      <c r="S18" s="2"/>
    </row>
    <row r="19" spans="1:19" ht="15" customHeight="1" outlineLevel="1" x14ac:dyDescent="0.25">
      <c r="A19" s="31" t="s">
        <v>19</v>
      </c>
      <c r="B19" s="31" t="s">
        <v>20</v>
      </c>
      <c r="C19" s="48">
        <f>7529300.44</f>
        <v>7529300.4400000004</v>
      </c>
      <c r="D19" s="43">
        <v>8032776.7699999996</v>
      </c>
      <c r="E19" s="52">
        <v>10614176.83</v>
      </c>
      <c r="F19" s="52">
        <v>11683959.5</v>
      </c>
      <c r="G19" s="52">
        <v>12126590.210000001</v>
      </c>
      <c r="H19" s="32">
        <f>E19-C19</f>
        <v>3084876.3899999997</v>
      </c>
      <c r="I19" s="33">
        <f>ROUND(E19/C19*100-100,1)</f>
        <v>41</v>
      </c>
      <c r="J19" s="33">
        <f>E19-D19</f>
        <v>2581400.0600000005</v>
      </c>
      <c r="K19" s="33">
        <f>ROUND(E19/D19*100-100,1)</f>
        <v>32.1</v>
      </c>
      <c r="L19" s="6"/>
      <c r="M19" s="2"/>
      <c r="N19" s="2"/>
      <c r="O19" s="2"/>
      <c r="P19" s="2"/>
      <c r="Q19" s="2"/>
      <c r="R19" s="2"/>
      <c r="S19" s="2"/>
    </row>
    <row r="20" spans="1:19" ht="15" customHeight="1" x14ac:dyDescent="0.25">
      <c r="A20" s="26" t="s">
        <v>21</v>
      </c>
      <c r="B20" s="26" t="s">
        <v>22</v>
      </c>
      <c r="C20" s="42">
        <f>SUBTOTAL(9,C21:C25)</f>
        <v>49968759.32</v>
      </c>
      <c r="D20" s="42">
        <f>D21+D22+D23+D24+D25</f>
        <v>53354308.579999998</v>
      </c>
      <c r="E20" s="42">
        <f>SUBTOTAL(9,E21:E25)</f>
        <v>44862163.829999998</v>
      </c>
      <c r="F20" s="42">
        <f>SUBTOTAL(9,F21:F25)</f>
        <v>44842123.949999996</v>
      </c>
      <c r="G20" s="42">
        <f>SUBTOTAL(9,G21:G25)</f>
        <v>45221031.369999997</v>
      </c>
      <c r="H20" s="28">
        <f>SUBTOTAL(9,H21:H25)</f>
        <v>-5106595.49</v>
      </c>
      <c r="I20" s="29">
        <f>ROUND(E20/C20*100-100,1)</f>
        <v>-10.199999999999999</v>
      </c>
      <c r="J20" s="30">
        <f>SUBTOTAL(9,J21:J25)</f>
        <v>-8492144.7500000019</v>
      </c>
      <c r="K20" s="29">
        <f>ROUND(E20/D20*100-100,1)</f>
        <v>-15.9</v>
      </c>
      <c r="L20" s="6"/>
      <c r="M20" s="2"/>
      <c r="N20" s="2"/>
      <c r="O20" s="2"/>
      <c r="P20" s="2"/>
      <c r="Q20" s="2"/>
      <c r="R20" s="2"/>
      <c r="S20" s="2"/>
    </row>
    <row r="21" spans="1:19" ht="15" customHeight="1" outlineLevel="1" x14ac:dyDescent="0.25">
      <c r="A21" s="31" t="s">
        <v>23</v>
      </c>
      <c r="B21" s="31" t="s">
        <v>24</v>
      </c>
      <c r="C21" s="48">
        <f>6851649.68</f>
        <v>6851649.6799999997</v>
      </c>
      <c r="D21" s="43">
        <v>7803794.5199999996</v>
      </c>
      <c r="E21" s="52">
        <v>8079252.5099999998</v>
      </c>
      <c r="F21" s="52">
        <v>8079252.5099999998</v>
      </c>
      <c r="G21" s="52">
        <v>8079252.5099999998</v>
      </c>
      <c r="H21" s="32">
        <f>E21-C21</f>
        <v>1227602.83</v>
      </c>
      <c r="I21" s="33">
        <f>ROUND(E21/C21*100-100,1)</f>
        <v>17.899999999999999</v>
      </c>
      <c r="J21" s="33">
        <f>E21-D21</f>
        <v>275457.99000000022</v>
      </c>
      <c r="K21" s="33">
        <f>ROUND(E21/D21*100-100,1)</f>
        <v>3.5</v>
      </c>
      <c r="L21" s="6"/>
      <c r="M21" s="2"/>
      <c r="N21" s="2"/>
      <c r="O21" s="2"/>
      <c r="P21" s="2"/>
      <c r="Q21" s="2"/>
      <c r="R21" s="2"/>
      <c r="S21" s="2"/>
    </row>
    <row r="22" spans="1:19" outlineLevel="1" x14ac:dyDescent="0.25">
      <c r="A22" s="31" t="s">
        <v>116</v>
      </c>
      <c r="B22" s="31" t="s">
        <v>25</v>
      </c>
      <c r="C22" s="48">
        <f>32974194.37</f>
        <v>32974194.370000001</v>
      </c>
      <c r="D22" s="43">
        <v>37981926.060000002</v>
      </c>
      <c r="E22" s="52">
        <v>35609607.32</v>
      </c>
      <c r="F22" s="52">
        <v>35589567.439999998</v>
      </c>
      <c r="G22" s="52">
        <v>35968474.859999999</v>
      </c>
      <c r="H22" s="32">
        <f>E22-C22</f>
        <v>2635412.9499999993</v>
      </c>
      <c r="I22" s="33">
        <f>ROUND(E22/C22*100-100,1)</f>
        <v>8</v>
      </c>
      <c r="J22" s="33">
        <f>E22-D22</f>
        <v>-2372318.7400000021</v>
      </c>
      <c r="K22" s="33">
        <f>ROUND(E22/D22*100-100,1)</f>
        <v>-6.2</v>
      </c>
      <c r="L22" s="6"/>
      <c r="M22" s="2"/>
      <c r="N22" s="2"/>
      <c r="O22" s="2"/>
      <c r="P22" s="2"/>
      <c r="Q22" s="2"/>
      <c r="R22" s="2"/>
      <c r="S22" s="2"/>
    </row>
    <row r="23" spans="1:19" ht="27" customHeight="1" outlineLevel="6" x14ac:dyDescent="0.25">
      <c r="A23" s="9" t="s">
        <v>122</v>
      </c>
      <c r="B23" s="9" t="s">
        <v>121</v>
      </c>
      <c r="C23" s="9"/>
      <c r="D23" s="43">
        <v>140008</v>
      </c>
      <c r="E23" s="10"/>
      <c r="F23" s="10"/>
      <c r="G23" s="10"/>
      <c r="H23" s="32">
        <f>E23-C23</f>
        <v>0</v>
      </c>
      <c r="I23" s="33"/>
      <c r="J23" s="33">
        <f>E23-D23</f>
        <v>-140008</v>
      </c>
      <c r="K23" s="33">
        <f>ROUND(E23/D23*100-100,1)</f>
        <v>-100</v>
      </c>
      <c r="L23" s="6"/>
      <c r="M23" s="2"/>
      <c r="N23" s="2"/>
      <c r="O23" s="2"/>
      <c r="P23" s="2"/>
      <c r="Q23" s="2"/>
      <c r="R23" s="2"/>
      <c r="S23" s="2"/>
    </row>
    <row r="24" spans="1:19" outlineLevel="6" x14ac:dyDescent="0.25">
      <c r="A24" s="9" t="s">
        <v>111</v>
      </c>
      <c r="B24" s="9" t="s">
        <v>110</v>
      </c>
      <c r="C24" s="48">
        <f>9232445</f>
        <v>9232445</v>
      </c>
      <c r="D24" s="43">
        <v>6558680</v>
      </c>
      <c r="E24" s="43"/>
      <c r="F24" s="43"/>
      <c r="G24" s="43"/>
      <c r="H24" s="32">
        <f>E24-C24</f>
        <v>-9232445</v>
      </c>
      <c r="I24" s="33">
        <f>ROUND(E24/C24*100-100,1)</f>
        <v>-100</v>
      </c>
      <c r="J24" s="33">
        <f>E24-D24</f>
        <v>-6558680</v>
      </c>
      <c r="K24" s="33">
        <f>ROUND(E24/D24*100-100,1)</f>
        <v>-100</v>
      </c>
      <c r="L24" s="6"/>
      <c r="M24" s="2"/>
      <c r="N24" s="2"/>
      <c r="O24" s="2"/>
      <c r="P24" s="2"/>
      <c r="Q24" s="2"/>
      <c r="R24" s="2"/>
      <c r="S24" s="2"/>
    </row>
    <row r="25" spans="1:19" ht="15" customHeight="1" outlineLevel="1" x14ac:dyDescent="0.25">
      <c r="A25" s="31" t="s">
        <v>26</v>
      </c>
      <c r="B25" s="31" t="s">
        <v>27</v>
      </c>
      <c r="C25" s="48">
        <f>910470.27</f>
        <v>910470.27</v>
      </c>
      <c r="D25" s="43">
        <v>869900</v>
      </c>
      <c r="E25" s="52">
        <v>1173304</v>
      </c>
      <c r="F25" s="52">
        <v>1173304</v>
      </c>
      <c r="G25" s="52">
        <v>1173304</v>
      </c>
      <c r="H25" s="32">
        <f>E25-C25</f>
        <v>262833.73</v>
      </c>
      <c r="I25" s="33">
        <f>ROUND(E25/C25*100-100,1)</f>
        <v>28.9</v>
      </c>
      <c r="J25" s="33">
        <f>E25-D25</f>
        <v>303404</v>
      </c>
      <c r="K25" s="33">
        <f>ROUND(E25/D25*100-100,1)</f>
        <v>34.9</v>
      </c>
      <c r="L25" s="6"/>
      <c r="M25" s="2"/>
      <c r="N25" s="2"/>
      <c r="O25" s="2"/>
      <c r="P25" s="2"/>
      <c r="Q25" s="2"/>
      <c r="R25" s="2"/>
      <c r="S25" s="2"/>
    </row>
    <row r="26" spans="1:19" ht="15" customHeight="1" x14ac:dyDescent="0.25">
      <c r="A26" s="26" t="s">
        <v>28</v>
      </c>
      <c r="B26" s="26" t="s">
        <v>29</v>
      </c>
      <c r="C26" s="42">
        <f>SUBTOTAL(9,C27:C30)</f>
        <v>168497860.99000001</v>
      </c>
      <c r="D26" s="42">
        <f>SUBTOTAL(9,D27:D30)</f>
        <v>178635675.92000002</v>
      </c>
      <c r="E26" s="42">
        <f>SUBTOTAL(9,E27:E30)</f>
        <v>164256212.91999999</v>
      </c>
      <c r="F26" s="42">
        <f>SUBTOTAL(9,F27:F30)</f>
        <v>158984047.49000001</v>
      </c>
      <c r="G26" s="42">
        <f>SUBTOTAL(9,G27:G30)</f>
        <v>156168815.38999999</v>
      </c>
      <c r="H26" s="28">
        <f>SUBTOTAL(9,H27:H30)</f>
        <v>-4241648.0700000189</v>
      </c>
      <c r="I26" s="29">
        <f>ROUND(E26/C26*100-100,1)</f>
        <v>-2.5</v>
      </c>
      <c r="J26" s="30">
        <f>SUBTOTAL(9,J27:J30)</f>
        <v>-14379463.000000026</v>
      </c>
      <c r="K26" s="29">
        <f>ROUND(E26/D26*100-100,1)</f>
        <v>-8</v>
      </c>
      <c r="L26" s="6"/>
      <c r="M26" s="2"/>
      <c r="N26" s="2"/>
      <c r="O26" s="2"/>
      <c r="P26" s="2"/>
      <c r="Q26" s="2"/>
      <c r="R26" s="2"/>
      <c r="S26" s="2"/>
    </row>
    <row r="27" spans="1:19" ht="15" customHeight="1" outlineLevel="1" x14ac:dyDescent="0.25">
      <c r="A27" s="31" t="s">
        <v>30</v>
      </c>
      <c r="B27" s="31" t="s">
        <v>31</v>
      </c>
      <c r="C27" s="48">
        <f>2207176+2736355.62</f>
        <v>4943531.62</v>
      </c>
      <c r="D27" s="43">
        <v>6711623</v>
      </c>
      <c r="E27" s="52">
        <v>2658458</v>
      </c>
      <c r="F27" s="52">
        <v>3051698</v>
      </c>
      <c r="G27" s="52">
        <v>3051698</v>
      </c>
      <c r="H27" s="32">
        <f>E27-C27</f>
        <v>-2285073.62</v>
      </c>
      <c r="I27" s="33">
        <f>ROUND(E27/C27*100-100,1)</f>
        <v>-46.2</v>
      </c>
      <c r="J27" s="33">
        <f>E27-D27</f>
        <v>-4053165</v>
      </c>
      <c r="K27" s="33">
        <f>ROUND(E27/D27*100-100,1)</f>
        <v>-60.4</v>
      </c>
      <c r="L27" s="6"/>
      <c r="M27" s="2"/>
      <c r="N27" s="2"/>
      <c r="O27" s="2"/>
      <c r="P27" s="2"/>
      <c r="Q27" s="2"/>
      <c r="R27" s="2"/>
      <c r="S27" s="2"/>
    </row>
    <row r="28" spans="1:19" ht="15" customHeight="1" outlineLevel="1" x14ac:dyDescent="0.25">
      <c r="A28" s="31" t="s">
        <v>32</v>
      </c>
      <c r="B28" s="31" t="s">
        <v>33</v>
      </c>
      <c r="C28" s="48">
        <f>159691076.65</f>
        <v>159691076.65000001</v>
      </c>
      <c r="D28" s="43">
        <v>167078569.86000001</v>
      </c>
      <c r="E28" s="52">
        <v>160035418.91999999</v>
      </c>
      <c r="F28" s="52">
        <v>154858639.49000001</v>
      </c>
      <c r="G28" s="52">
        <v>152043407.38999999</v>
      </c>
      <c r="H28" s="32">
        <f>E28-C28</f>
        <v>344342.26999998093</v>
      </c>
      <c r="I28" s="33">
        <f>ROUND(E28/C28*100-100,1)</f>
        <v>0.2</v>
      </c>
      <c r="J28" s="33">
        <f>E28-D28</f>
        <v>-7043150.9400000274</v>
      </c>
      <c r="K28" s="33">
        <f>ROUND(E28/D28*100-100,1)</f>
        <v>-4.2</v>
      </c>
      <c r="L28" s="6"/>
      <c r="M28" s="2"/>
      <c r="N28" s="2"/>
      <c r="O28" s="2"/>
      <c r="P28" s="2"/>
      <c r="Q28" s="2"/>
      <c r="R28" s="2"/>
      <c r="S28" s="2"/>
    </row>
    <row r="29" spans="1:19" ht="15" customHeight="1" outlineLevel="1" x14ac:dyDescent="0.25">
      <c r="A29" s="31" t="s">
        <v>34</v>
      </c>
      <c r="B29" s="31" t="s">
        <v>35</v>
      </c>
      <c r="C29" s="48">
        <f>16530</f>
        <v>16530</v>
      </c>
      <c r="D29" s="43">
        <v>38548</v>
      </c>
      <c r="E29" s="52">
        <v>40860</v>
      </c>
      <c r="F29" s="52">
        <v>40860</v>
      </c>
      <c r="G29" s="52">
        <v>40860</v>
      </c>
      <c r="H29" s="32">
        <f>E29-C29</f>
        <v>24330</v>
      </c>
      <c r="I29" s="33">
        <f>ROUND(E29/C29*100-100,1)</f>
        <v>147.19999999999999</v>
      </c>
      <c r="J29" s="33">
        <f>E29-D29</f>
        <v>2312</v>
      </c>
      <c r="K29" s="33">
        <f>ROUND(E29/D29*100-100,1)</f>
        <v>6</v>
      </c>
      <c r="L29" s="6"/>
      <c r="M29" s="2"/>
      <c r="N29" s="2"/>
      <c r="O29" s="2"/>
      <c r="P29" s="2"/>
      <c r="Q29" s="2"/>
      <c r="R29" s="2"/>
      <c r="S29" s="2"/>
    </row>
    <row r="30" spans="1:19" ht="15" customHeight="1" outlineLevel="1" x14ac:dyDescent="0.25">
      <c r="A30" s="31" t="s">
        <v>36</v>
      </c>
      <c r="B30" s="31" t="s">
        <v>37</v>
      </c>
      <c r="C30" s="48">
        <f>1637203+2209519.72</f>
        <v>3846722.72</v>
      </c>
      <c r="D30" s="49">
        <v>4806935.0599999996</v>
      </c>
      <c r="E30" s="52">
        <v>1521476</v>
      </c>
      <c r="F30" s="52">
        <v>1032850</v>
      </c>
      <c r="G30" s="52">
        <v>1032850</v>
      </c>
      <c r="H30" s="32">
        <f>E30-C30</f>
        <v>-2325246.7200000002</v>
      </c>
      <c r="I30" s="33">
        <f>ROUND(E30/C30*100-100,1)</f>
        <v>-60.4</v>
      </c>
      <c r="J30" s="33">
        <f>E30-D30</f>
        <v>-3285459.0599999996</v>
      </c>
      <c r="K30" s="33">
        <f>ROUND(E30/D30*100-100,1)</f>
        <v>-68.3</v>
      </c>
      <c r="L30" s="6"/>
      <c r="M30" s="2"/>
      <c r="N30" s="2"/>
      <c r="O30" s="2"/>
      <c r="P30" s="2"/>
      <c r="Q30" s="2"/>
      <c r="R30" s="2"/>
      <c r="S30" s="2"/>
    </row>
    <row r="31" spans="1:19" ht="15" customHeight="1" x14ac:dyDescent="0.25">
      <c r="A31" s="26" t="s">
        <v>38</v>
      </c>
      <c r="B31" s="26" t="s">
        <v>39</v>
      </c>
      <c r="C31" s="42">
        <f>SUBTOTAL(9,C32:C35)</f>
        <v>171709468.52000001</v>
      </c>
      <c r="D31" s="42">
        <f>D32+D33+D34+D35</f>
        <v>274406386.29000002</v>
      </c>
      <c r="E31" s="42">
        <f>SUBTOTAL(9,E32:E35)</f>
        <v>155832368.21000001</v>
      </c>
      <c r="F31" s="42">
        <f>SUBTOTAL(9,F32:F35)</f>
        <v>207591786.94999999</v>
      </c>
      <c r="G31" s="42">
        <f>SUBTOTAL(9,G32:G35)</f>
        <v>157846055.25</v>
      </c>
      <c r="H31" s="28">
        <f>SUBTOTAL(9,H32:H35)</f>
        <v>-15877100.310000006</v>
      </c>
      <c r="I31" s="29">
        <f>ROUND(E31/C31*100-100,1)</f>
        <v>-9.1999999999999993</v>
      </c>
      <c r="J31" s="30">
        <f>SUBTOTAL(9,J32:J35)</f>
        <v>-118574018.07999998</v>
      </c>
      <c r="K31" s="29">
        <f>ROUND(E31/D31*100-100,1)</f>
        <v>-43.2</v>
      </c>
      <c r="L31" s="6"/>
      <c r="M31" s="2"/>
      <c r="N31" s="2"/>
      <c r="O31" s="2"/>
      <c r="P31" s="2"/>
      <c r="Q31" s="2"/>
      <c r="R31" s="2"/>
      <c r="S31" s="2"/>
    </row>
    <row r="32" spans="1:19" ht="15" customHeight="1" outlineLevel="1" x14ac:dyDescent="0.25">
      <c r="A32" s="31" t="s">
        <v>40</v>
      </c>
      <c r="B32" s="31" t="s">
        <v>41</v>
      </c>
      <c r="C32" s="48">
        <f>145767.99+15558333.73</f>
        <v>15704101.720000001</v>
      </c>
      <c r="D32" s="43">
        <v>15414591.960000001</v>
      </c>
      <c r="E32" s="52">
        <v>14336519.439999999</v>
      </c>
      <c r="F32" s="52">
        <v>60141188.350000001</v>
      </c>
      <c r="G32" s="52">
        <v>14336519.439999999</v>
      </c>
      <c r="H32" s="32">
        <f>E32-C32</f>
        <v>-1367582.2800000012</v>
      </c>
      <c r="I32" s="33">
        <f>ROUND(E32/C32*100-100,1)</f>
        <v>-8.6999999999999993</v>
      </c>
      <c r="J32" s="33">
        <f>E32-D32</f>
        <v>-1078072.5200000014</v>
      </c>
      <c r="K32" s="33">
        <f>ROUND(E32/D32*100-100,1)</f>
        <v>-7</v>
      </c>
      <c r="L32" s="6"/>
      <c r="M32" s="2"/>
      <c r="N32" s="2"/>
      <c r="O32" s="2"/>
      <c r="P32" s="2"/>
      <c r="Q32" s="2"/>
      <c r="R32" s="2"/>
      <c r="S32" s="2"/>
    </row>
    <row r="33" spans="1:19" ht="15" customHeight="1" outlineLevel="1" x14ac:dyDescent="0.25">
      <c r="A33" s="31" t="s">
        <v>42</v>
      </c>
      <c r="B33" s="31" t="s">
        <v>43</v>
      </c>
      <c r="C33" s="48"/>
      <c r="D33" s="43">
        <v>18228256.870000001</v>
      </c>
      <c r="E33" s="52">
        <v>60000</v>
      </c>
      <c r="F33" s="52">
        <v>60000</v>
      </c>
      <c r="G33" s="52">
        <v>60000</v>
      </c>
      <c r="H33" s="32">
        <f>E33-C33</f>
        <v>60000</v>
      </c>
      <c r="I33" s="33"/>
      <c r="J33" s="33">
        <f>E33-D33</f>
        <v>-18168256.870000001</v>
      </c>
      <c r="K33" s="33">
        <f>ROUND(E33/D33*100-100,1)</f>
        <v>-99.7</v>
      </c>
      <c r="L33" s="6"/>
      <c r="M33" s="2"/>
      <c r="N33" s="2"/>
      <c r="O33" s="2"/>
      <c r="P33" s="2"/>
      <c r="Q33" s="2"/>
      <c r="R33" s="2"/>
      <c r="S33" s="2"/>
    </row>
    <row r="34" spans="1:19" ht="15" customHeight="1" outlineLevel="1" x14ac:dyDescent="0.25">
      <c r="A34" s="31" t="s">
        <v>44</v>
      </c>
      <c r="B34" s="31" t="s">
        <v>45</v>
      </c>
      <c r="C34" s="48">
        <f>24380531.37</f>
        <v>24380531.370000001</v>
      </c>
      <c r="D34" s="43">
        <v>142278604.59999999</v>
      </c>
      <c r="E34" s="52">
        <v>49470059.869999997</v>
      </c>
      <c r="F34" s="52">
        <v>53390647.149999999</v>
      </c>
      <c r="G34" s="52">
        <v>53390647.149999999</v>
      </c>
      <c r="H34" s="32">
        <f>E34-C34</f>
        <v>25089528.499999996</v>
      </c>
      <c r="I34" s="33">
        <f>ROUND(E34/C34*100-100,1)</f>
        <v>102.9</v>
      </c>
      <c r="J34" s="33">
        <f>E34-D34</f>
        <v>-92808544.729999989</v>
      </c>
      <c r="K34" s="33">
        <f>ROUND(E34/D34*100-100,1)</f>
        <v>-65.2</v>
      </c>
      <c r="L34" s="6"/>
      <c r="M34" s="2"/>
      <c r="N34" s="2"/>
      <c r="O34" s="2"/>
      <c r="P34" s="2"/>
      <c r="Q34" s="2"/>
      <c r="R34" s="2"/>
      <c r="S34" s="2"/>
    </row>
    <row r="35" spans="1:19" ht="15" customHeight="1" outlineLevel="1" x14ac:dyDescent="0.25">
      <c r="A35" s="31" t="s">
        <v>46</v>
      </c>
      <c r="B35" s="31" t="s">
        <v>47</v>
      </c>
      <c r="C35" s="48">
        <f>107719+131517116.43</f>
        <v>131624835.43000001</v>
      </c>
      <c r="D35" s="43">
        <v>98484932.859999999</v>
      </c>
      <c r="E35" s="52">
        <v>91965788.900000006</v>
      </c>
      <c r="F35" s="52">
        <v>93999951.450000003</v>
      </c>
      <c r="G35" s="52">
        <v>90058888.659999996</v>
      </c>
      <c r="H35" s="32">
        <f>E35-C35</f>
        <v>-39659046.530000001</v>
      </c>
      <c r="I35" s="33">
        <f>ROUND(E35/C35*100-100,1)</f>
        <v>-30.1</v>
      </c>
      <c r="J35" s="33">
        <f>E35-D35</f>
        <v>-6519143.9599999934</v>
      </c>
      <c r="K35" s="33">
        <f>ROUND(E35/D35*100-100,1)</f>
        <v>-6.6</v>
      </c>
      <c r="L35" s="6"/>
      <c r="M35" s="2"/>
      <c r="N35" s="2"/>
      <c r="O35" s="2"/>
      <c r="P35" s="2"/>
      <c r="Q35" s="2"/>
      <c r="R35" s="2"/>
      <c r="S35" s="2"/>
    </row>
    <row r="36" spans="1:19" ht="15" customHeight="1" x14ac:dyDescent="0.25">
      <c r="A36" s="26" t="s">
        <v>48</v>
      </c>
      <c r="B36" s="26" t="s">
        <v>49</v>
      </c>
      <c r="C36" s="42">
        <f>C37</f>
        <v>17902470.18</v>
      </c>
      <c r="D36" s="42">
        <f t="shared" ref="D36:J36" si="5">D37</f>
        <v>27018160.52</v>
      </c>
      <c r="E36" s="42">
        <f t="shared" si="5"/>
        <v>6575420</v>
      </c>
      <c r="F36" s="42">
        <f t="shared" si="5"/>
        <v>14475074.630000001</v>
      </c>
      <c r="G36" s="42">
        <f t="shared" si="5"/>
        <v>11244118.9</v>
      </c>
      <c r="H36" s="28">
        <f t="shared" si="5"/>
        <v>-11327050.18</v>
      </c>
      <c r="I36" s="29">
        <f>ROUND(E36/C36*100-100,1)</f>
        <v>-63.3</v>
      </c>
      <c r="J36" s="30">
        <f t="shared" si="5"/>
        <v>-20442740.52</v>
      </c>
      <c r="K36" s="29">
        <f>ROUND(E36/D36*100-100,1)</f>
        <v>-75.7</v>
      </c>
      <c r="L36" s="6"/>
      <c r="M36" s="2"/>
      <c r="N36" s="2"/>
      <c r="O36" s="2"/>
      <c r="P36" s="2"/>
      <c r="Q36" s="2"/>
      <c r="R36" s="2"/>
      <c r="S36" s="2"/>
    </row>
    <row r="37" spans="1:19" ht="15" customHeight="1" outlineLevel="1" x14ac:dyDescent="0.25">
      <c r="A37" s="31" t="s">
        <v>50</v>
      </c>
      <c r="B37" s="31" t="s">
        <v>51</v>
      </c>
      <c r="C37" s="48">
        <f>749903.08+674031.53+1465072.35+1623517.49+13389945.73</f>
        <v>17902470.18</v>
      </c>
      <c r="D37" s="43">
        <v>27018160.52</v>
      </c>
      <c r="E37" s="52">
        <v>6575420</v>
      </c>
      <c r="F37" s="52">
        <v>14475074.630000001</v>
      </c>
      <c r="G37" s="52">
        <v>11244118.9</v>
      </c>
      <c r="H37" s="32">
        <f>E37-C37</f>
        <v>-11327050.18</v>
      </c>
      <c r="I37" s="33">
        <f>ROUND(E37/C37*100-100,1)</f>
        <v>-63.3</v>
      </c>
      <c r="J37" s="33">
        <f>E37-D37</f>
        <v>-20442740.52</v>
      </c>
      <c r="K37" s="33">
        <f>ROUND(E37/D37*100-100,1)</f>
        <v>-75.7</v>
      </c>
      <c r="L37" s="6"/>
      <c r="M37" s="2"/>
      <c r="N37" s="2"/>
      <c r="O37" s="2"/>
      <c r="P37" s="2"/>
      <c r="Q37" s="2"/>
      <c r="R37" s="2"/>
      <c r="S37" s="2"/>
    </row>
    <row r="38" spans="1:19" ht="15" customHeight="1" x14ac:dyDescent="0.25">
      <c r="A38" s="26" t="s">
        <v>52</v>
      </c>
      <c r="B38" s="26" t="s">
        <v>53</v>
      </c>
      <c r="C38" s="42">
        <f>SUBTOTAL(9,C39:C44)</f>
        <v>2195683515.25</v>
      </c>
      <c r="D38" s="42">
        <f>SUBTOTAL(9,D39:D44)</f>
        <v>2530477408.8899999</v>
      </c>
      <c r="E38" s="42">
        <f>SUBTOTAL(9,E39:E44)</f>
        <v>2419334423.5700002</v>
      </c>
      <c r="F38" s="42">
        <f>SUBTOTAL(9,F39:F44)</f>
        <v>2396568422.8700004</v>
      </c>
      <c r="G38" s="42">
        <f>SUBTOTAL(9,G39:G44)</f>
        <v>2389171154.8700004</v>
      </c>
      <c r="H38" s="28">
        <f>SUBTOTAL(9,H39:H44)</f>
        <v>223650908.31999993</v>
      </c>
      <c r="I38" s="29">
        <f>ROUND(E38/C38*100-100,1)</f>
        <v>10.199999999999999</v>
      </c>
      <c r="J38" s="30">
        <f>SUBTOTAL(9,J39:J44)</f>
        <v>-111142985.31999998</v>
      </c>
      <c r="K38" s="29">
        <f>ROUND(E38/D38*100-100,1)</f>
        <v>-4.4000000000000004</v>
      </c>
      <c r="L38" s="6"/>
      <c r="M38" s="2"/>
      <c r="N38" s="2"/>
      <c r="O38" s="2"/>
      <c r="P38" s="2"/>
      <c r="Q38" s="2"/>
      <c r="R38" s="2"/>
      <c r="S38" s="2"/>
    </row>
    <row r="39" spans="1:19" ht="15" customHeight="1" outlineLevel="1" x14ac:dyDescent="0.25">
      <c r="A39" s="31" t="s">
        <v>54</v>
      </c>
      <c r="B39" s="31" t="s">
        <v>55</v>
      </c>
      <c r="C39" s="48">
        <v>892821152.14999998</v>
      </c>
      <c r="D39" s="43">
        <v>1016500425.61</v>
      </c>
      <c r="E39" s="52">
        <v>946376030.73000002</v>
      </c>
      <c r="F39" s="52">
        <v>954686857</v>
      </c>
      <c r="G39" s="52">
        <v>954923481.74000001</v>
      </c>
      <c r="H39" s="32">
        <f>E39-C39</f>
        <v>53554878.580000043</v>
      </c>
      <c r="I39" s="33">
        <f>ROUND(E39/C39*100-100,1)</f>
        <v>6</v>
      </c>
      <c r="J39" s="33">
        <f>E39-D39</f>
        <v>-70124394.879999995</v>
      </c>
      <c r="K39" s="33">
        <f>ROUND(E39/D39*100-100,1)</f>
        <v>-6.9</v>
      </c>
      <c r="L39" s="6"/>
      <c r="M39" s="2"/>
      <c r="N39" s="2"/>
      <c r="O39" s="2"/>
      <c r="P39" s="2"/>
      <c r="Q39" s="2"/>
      <c r="R39" s="2"/>
      <c r="S39" s="2"/>
    </row>
    <row r="40" spans="1:19" ht="15" customHeight="1" outlineLevel="1" x14ac:dyDescent="0.25">
      <c r="A40" s="31" t="s">
        <v>56</v>
      </c>
      <c r="B40" s="31" t="s">
        <v>57</v>
      </c>
      <c r="C40" s="48">
        <v>956251983.86000001</v>
      </c>
      <c r="D40" s="43">
        <v>1114676815.8499999</v>
      </c>
      <c r="E40" s="52">
        <v>1151270490.5699999</v>
      </c>
      <c r="F40" s="52">
        <v>1132755954.72</v>
      </c>
      <c r="G40" s="52">
        <v>1124353629.98</v>
      </c>
      <c r="H40" s="32">
        <f>E40-C40</f>
        <v>195018506.70999992</v>
      </c>
      <c r="I40" s="33">
        <f>ROUND(E40/C40*100-100,1)</f>
        <v>20.399999999999999</v>
      </c>
      <c r="J40" s="33">
        <f>E40-D40</f>
        <v>36593674.720000029</v>
      </c>
      <c r="K40" s="33">
        <f>ROUND(E40/D40*100-100,1)</f>
        <v>3.3</v>
      </c>
      <c r="L40" s="6"/>
      <c r="M40" s="2"/>
      <c r="N40" s="2"/>
      <c r="O40" s="2"/>
      <c r="P40" s="2"/>
      <c r="Q40" s="2"/>
      <c r="R40" s="2"/>
      <c r="S40" s="2"/>
    </row>
    <row r="41" spans="1:19" ht="15" customHeight="1" outlineLevel="1" x14ac:dyDescent="0.25">
      <c r="A41" s="31" t="s">
        <v>58</v>
      </c>
      <c r="B41" s="31" t="s">
        <v>59</v>
      </c>
      <c r="C41" s="48">
        <f>8124285.45+68372614.23+84361921.62</f>
        <v>160858821.30000001</v>
      </c>
      <c r="D41" s="49">
        <v>167685536.83000001</v>
      </c>
      <c r="E41" s="49">
        <v>169017460.91</v>
      </c>
      <c r="F41" s="49">
        <v>167055106.91</v>
      </c>
      <c r="G41" s="49">
        <v>167828738.91</v>
      </c>
      <c r="H41" s="32">
        <f>E41-C41</f>
        <v>8158639.6099999845</v>
      </c>
      <c r="I41" s="33">
        <f>ROUND(E41/C41*100-100,1)</f>
        <v>5.0999999999999996</v>
      </c>
      <c r="J41" s="33">
        <f>E41-D41</f>
        <v>1331924.0799999833</v>
      </c>
      <c r="K41" s="33">
        <f>ROUND(E41/D41*100-100,1)</f>
        <v>0.8</v>
      </c>
      <c r="L41" s="6"/>
      <c r="M41" s="2"/>
      <c r="N41" s="2"/>
      <c r="O41" s="2"/>
      <c r="P41" s="2"/>
      <c r="Q41" s="2"/>
      <c r="R41" s="2"/>
      <c r="S41" s="2"/>
    </row>
    <row r="42" spans="1:19" ht="27" customHeight="1" outlineLevel="6" x14ac:dyDescent="0.25">
      <c r="A42" s="31" t="s">
        <v>117</v>
      </c>
      <c r="B42" s="9" t="s">
        <v>115</v>
      </c>
      <c r="C42" s="48">
        <v>0</v>
      </c>
      <c r="D42" s="49">
        <v>403712.99</v>
      </c>
      <c r="E42" s="49">
        <v>260373.32</v>
      </c>
      <c r="F42" s="49">
        <v>254063.32</v>
      </c>
      <c r="G42" s="49">
        <v>248863.32</v>
      </c>
      <c r="H42" s="32">
        <f>E42-C42</f>
        <v>260373.32</v>
      </c>
      <c r="I42" s="33"/>
      <c r="J42" s="33">
        <f>E42-D42</f>
        <v>-143339.66999999998</v>
      </c>
      <c r="K42" s="33">
        <f>ROUND(E42/D42*100-100,1)</f>
        <v>-35.5</v>
      </c>
      <c r="L42" s="6"/>
      <c r="M42" s="2"/>
      <c r="N42" s="2"/>
      <c r="O42" s="2"/>
      <c r="P42" s="2"/>
      <c r="Q42" s="2"/>
      <c r="R42" s="2"/>
      <c r="S42" s="2"/>
    </row>
    <row r="43" spans="1:19" ht="15" customHeight="1" outlineLevel="1" x14ac:dyDescent="0.25">
      <c r="A43" s="31" t="s">
        <v>60</v>
      </c>
      <c r="B43" s="31" t="s">
        <v>61</v>
      </c>
      <c r="C43" s="48">
        <f>1079596+31908438.87</f>
        <v>32988034.870000001</v>
      </c>
      <c r="D43" s="49">
        <v>41496289.420000002</v>
      </c>
      <c r="E43" s="49">
        <v>27408270</v>
      </c>
      <c r="F43" s="49">
        <v>27408270</v>
      </c>
      <c r="G43" s="49">
        <v>27408270</v>
      </c>
      <c r="H43" s="32">
        <f>E43-C43</f>
        <v>-5579764.870000001</v>
      </c>
      <c r="I43" s="33">
        <f>ROUND(E43/C43*100-100,1)</f>
        <v>-16.899999999999999</v>
      </c>
      <c r="J43" s="33">
        <f>E43-D43</f>
        <v>-14088019.420000002</v>
      </c>
      <c r="K43" s="33">
        <f>ROUND(E43/D43*100-100,1)</f>
        <v>-34</v>
      </c>
      <c r="L43" s="6"/>
      <c r="M43" s="2"/>
      <c r="N43" s="2"/>
      <c r="O43" s="2"/>
      <c r="P43" s="2"/>
      <c r="Q43" s="2"/>
      <c r="R43" s="2"/>
      <c r="S43" s="2"/>
    </row>
    <row r="44" spans="1:19" ht="15" customHeight="1" outlineLevel="1" x14ac:dyDescent="0.25">
      <c r="A44" s="31" t="s">
        <v>62</v>
      </c>
      <c r="B44" s="31" t="s">
        <v>63</v>
      </c>
      <c r="C44" s="48">
        <f>150929059.47+1834463.6</f>
        <v>152763523.06999999</v>
      </c>
      <c r="D44" s="49">
        <v>189714628.19</v>
      </c>
      <c r="E44" s="49">
        <v>125001798.04000001</v>
      </c>
      <c r="F44" s="49">
        <v>114408170.92</v>
      </c>
      <c r="G44" s="49">
        <v>114408170.92</v>
      </c>
      <c r="H44" s="32">
        <f>E44-C44</f>
        <v>-27761725.029999986</v>
      </c>
      <c r="I44" s="33">
        <f>ROUND(E44/C44*100-100,1)</f>
        <v>-18.2</v>
      </c>
      <c r="J44" s="33">
        <f>E44-D44</f>
        <v>-64712830.149999991</v>
      </c>
      <c r="K44" s="33">
        <f>ROUND(E44/D44*100-100,1)</f>
        <v>-34.1</v>
      </c>
      <c r="L44" s="6"/>
      <c r="M44" s="2"/>
      <c r="N44" s="2"/>
      <c r="O44" s="2"/>
      <c r="P44" s="2"/>
      <c r="Q44" s="2"/>
      <c r="R44" s="2"/>
      <c r="S44" s="2"/>
    </row>
    <row r="45" spans="1:19" ht="15" customHeight="1" x14ac:dyDescent="0.25">
      <c r="A45" s="26" t="s">
        <v>64</v>
      </c>
      <c r="B45" s="26" t="s">
        <v>65</v>
      </c>
      <c r="C45" s="42">
        <f>C46+C47</f>
        <v>146850734.38</v>
      </c>
      <c r="D45" s="42">
        <f>D46+D47</f>
        <v>160856166.08000001</v>
      </c>
      <c r="E45" s="42">
        <f>E46+E47</f>
        <v>147887312.54000002</v>
      </c>
      <c r="F45" s="42">
        <f>F46+F47</f>
        <v>147932249.81</v>
      </c>
      <c r="G45" s="42">
        <f>G46+G47</f>
        <v>147582858.30000001</v>
      </c>
      <c r="H45" s="28">
        <f>H46+H47</f>
        <v>1036578.1600000001</v>
      </c>
      <c r="I45" s="29">
        <f>ROUND(E45/C45*100-100,1)</f>
        <v>0.7</v>
      </c>
      <c r="J45" s="30">
        <f>J46+J47</f>
        <v>-12968853.539999999</v>
      </c>
      <c r="K45" s="29">
        <f>ROUND(E45/D45*100-100,1)</f>
        <v>-8.1</v>
      </c>
      <c r="L45" s="6"/>
      <c r="M45" s="2"/>
      <c r="N45" s="2"/>
      <c r="O45" s="2"/>
      <c r="P45" s="2"/>
      <c r="Q45" s="2"/>
      <c r="R45" s="2"/>
      <c r="S45" s="2"/>
    </row>
    <row r="46" spans="1:19" ht="15" customHeight="1" outlineLevel="1" x14ac:dyDescent="0.25">
      <c r="A46" s="31" t="s">
        <v>66</v>
      </c>
      <c r="B46" s="31" t="s">
        <v>67</v>
      </c>
      <c r="C46" s="48">
        <f>114631894.29</f>
        <v>114631894.29000001</v>
      </c>
      <c r="D46" s="43">
        <v>122659368.68000001</v>
      </c>
      <c r="E46" s="52">
        <v>107746377.54000001</v>
      </c>
      <c r="F46" s="52">
        <v>107716755.81</v>
      </c>
      <c r="G46" s="52">
        <v>107716756.3</v>
      </c>
      <c r="H46" s="32">
        <f>E46-C46</f>
        <v>-6885516.75</v>
      </c>
      <c r="I46" s="33">
        <f>ROUND(E46/C46*100-100,1)</f>
        <v>-6</v>
      </c>
      <c r="J46" s="33">
        <f>E46-D46</f>
        <v>-14912991.140000001</v>
      </c>
      <c r="K46" s="33">
        <f>ROUND(E46/D46*100-100,1)</f>
        <v>-12.2</v>
      </c>
      <c r="L46" s="6"/>
      <c r="M46" s="2"/>
      <c r="N46" s="2"/>
      <c r="O46" s="2"/>
      <c r="P46" s="2"/>
      <c r="Q46" s="2"/>
      <c r="R46" s="2"/>
      <c r="S46" s="2"/>
    </row>
    <row r="47" spans="1:19" ht="15" customHeight="1" outlineLevel="1" x14ac:dyDescent="0.25">
      <c r="A47" s="31" t="s">
        <v>68</v>
      </c>
      <c r="B47" s="31" t="s">
        <v>69</v>
      </c>
      <c r="C47" s="48">
        <f>32218840.09</f>
        <v>32218840.09</v>
      </c>
      <c r="D47" s="43">
        <v>38196797.399999999</v>
      </c>
      <c r="E47" s="52">
        <v>40140935</v>
      </c>
      <c r="F47" s="52">
        <v>40215494</v>
      </c>
      <c r="G47" s="52">
        <v>39866102</v>
      </c>
      <c r="H47" s="32">
        <f>E47-C47</f>
        <v>7922094.9100000001</v>
      </c>
      <c r="I47" s="33">
        <f>ROUND(E47/C47*100-100,1)</f>
        <v>24.6</v>
      </c>
      <c r="J47" s="33">
        <f>E47-D47</f>
        <v>1944137.6000000015</v>
      </c>
      <c r="K47" s="33">
        <f>ROUND(E47/D47*100-100,1)</f>
        <v>5.0999999999999996</v>
      </c>
      <c r="L47" s="6"/>
      <c r="M47" s="2"/>
      <c r="N47" s="2"/>
      <c r="O47" s="2"/>
      <c r="P47" s="2"/>
      <c r="Q47" s="2"/>
      <c r="R47" s="2"/>
      <c r="S47" s="2"/>
    </row>
    <row r="48" spans="1:19" outlineLevel="6" x14ac:dyDescent="0.25">
      <c r="A48" s="26" t="s">
        <v>105</v>
      </c>
      <c r="B48" s="26" t="s">
        <v>107</v>
      </c>
      <c r="C48" s="42">
        <f>C49</f>
        <v>2857102.6</v>
      </c>
      <c r="D48" s="42">
        <f t="shared" ref="D48:G48" si="6">D49</f>
        <v>3050428</v>
      </c>
      <c r="E48" s="42">
        <f t="shared" si="6"/>
        <v>1099000</v>
      </c>
      <c r="F48" s="42">
        <f t="shared" si="6"/>
        <v>1099000</v>
      </c>
      <c r="G48" s="42">
        <f t="shared" si="6"/>
        <v>1099000</v>
      </c>
      <c r="H48" s="30">
        <f>SUBTOTAL(9,H49:H53)</f>
        <v>29960747.600000009</v>
      </c>
      <c r="I48" s="29" t="s">
        <v>104</v>
      </c>
      <c r="J48" s="30">
        <f>SUBTOTAL(9,J49:J53)</f>
        <v>7521801.9800000172</v>
      </c>
      <c r="K48" s="29">
        <f>ROUND(E48/D48*100-100,1)</f>
        <v>-64</v>
      </c>
      <c r="L48" s="6"/>
      <c r="M48" s="2"/>
      <c r="N48" s="2"/>
      <c r="O48" s="2"/>
      <c r="P48" s="2"/>
      <c r="Q48" s="2"/>
      <c r="R48" s="2"/>
      <c r="S48" s="2"/>
    </row>
    <row r="49" spans="1:19" outlineLevel="6" x14ac:dyDescent="0.25">
      <c r="A49" s="31" t="s">
        <v>106</v>
      </c>
      <c r="B49" s="31" t="s">
        <v>108</v>
      </c>
      <c r="C49" s="48">
        <f>2857102.6</f>
        <v>2857102.6</v>
      </c>
      <c r="D49" s="43">
        <v>3050428</v>
      </c>
      <c r="E49" s="52">
        <v>1099000</v>
      </c>
      <c r="F49" s="52">
        <v>1099000</v>
      </c>
      <c r="G49" s="52">
        <v>1099000</v>
      </c>
      <c r="H49" s="32">
        <f>E49-C49</f>
        <v>-1758102.6</v>
      </c>
      <c r="I49" s="33" t="s">
        <v>104</v>
      </c>
      <c r="J49" s="33">
        <f>E49-D49</f>
        <v>-1951428</v>
      </c>
      <c r="K49" s="33">
        <f>ROUND(E49/D49*100-100,1)</f>
        <v>-64</v>
      </c>
      <c r="L49" s="6"/>
      <c r="M49" s="2"/>
      <c r="N49" s="2"/>
      <c r="O49" s="2"/>
      <c r="P49" s="2"/>
      <c r="Q49" s="2"/>
      <c r="R49" s="2"/>
      <c r="S49" s="2"/>
    </row>
    <row r="50" spans="1:19" ht="15" customHeight="1" x14ac:dyDescent="0.25">
      <c r="A50" s="26" t="s">
        <v>70</v>
      </c>
      <c r="B50" s="26" t="s">
        <v>71</v>
      </c>
      <c r="C50" s="42">
        <f>SUBTOTAL(9,C51:C54)</f>
        <v>159101207.49000001</v>
      </c>
      <c r="D50" s="42">
        <f>SUBTOTAL(9,D51:D54)</f>
        <v>183130387.70999998</v>
      </c>
      <c r="E50" s="42">
        <f>SUBTOTAL(9,E51:E54)</f>
        <v>191425793.69</v>
      </c>
      <c r="F50" s="42">
        <f>SUBTOTAL(9,F51:F54)</f>
        <v>193553993.69</v>
      </c>
      <c r="G50" s="42">
        <f>SUBTOTAL(9,G51:G54)</f>
        <v>193811393.69</v>
      </c>
      <c r="H50" s="30">
        <f>SUBTOTAL(9,H51:H54)</f>
        <v>32324586.200000007</v>
      </c>
      <c r="I50" s="29">
        <f>ROUND(E50/C50*100-100,1)</f>
        <v>20.3</v>
      </c>
      <c r="J50" s="30">
        <f>SUBTOTAL(9,J51:J54)</f>
        <v>8295405.9800000172</v>
      </c>
      <c r="K50" s="29">
        <f>ROUND(E50/D50*100-100,1)</f>
        <v>4.5</v>
      </c>
      <c r="L50" s="6"/>
      <c r="M50" s="2"/>
      <c r="N50" s="2"/>
      <c r="O50" s="2"/>
      <c r="P50" s="2"/>
      <c r="Q50" s="2"/>
      <c r="R50" s="2"/>
      <c r="S50" s="2"/>
    </row>
    <row r="51" spans="1:19" ht="15" customHeight="1" outlineLevel="1" x14ac:dyDescent="0.25">
      <c r="A51" s="31" t="s">
        <v>72</v>
      </c>
      <c r="B51" s="31" t="s">
        <v>73</v>
      </c>
      <c r="C51" s="48">
        <v>6839766.5099999998</v>
      </c>
      <c r="D51" s="43">
        <v>7214950.1100000003</v>
      </c>
      <c r="E51" s="52">
        <v>7269790.3899999997</v>
      </c>
      <c r="F51" s="52">
        <v>7269790.3899999997</v>
      </c>
      <c r="G51" s="52">
        <v>7269790.3899999997</v>
      </c>
      <c r="H51" s="32">
        <f>E51-C51</f>
        <v>430023.87999999989</v>
      </c>
      <c r="I51" s="33">
        <f>ROUND(E51/C51*100-100,1)</f>
        <v>6.3</v>
      </c>
      <c r="J51" s="33">
        <f>E51-D51</f>
        <v>54840.279999999329</v>
      </c>
      <c r="K51" s="33">
        <f>ROUND(E51/D51*100-100,1)</f>
        <v>0.8</v>
      </c>
      <c r="L51" s="6"/>
      <c r="M51" s="2"/>
      <c r="N51" s="2"/>
      <c r="O51" s="2"/>
      <c r="P51" s="2"/>
      <c r="Q51" s="2"/>
      <c r="R51" s="2"/>
      <c r="S51" s="2"/>
    </row>
    <row r="52" spans="1:19" ht="15" customHeight="1" outlineLevel="1" x14ac:dyDescent="0.25">
      <c r="A52" s="31" t="s">
        <v>74</v>
      </c>
      <c r="B52" s="31" t="s">
        <v>75</v>
      </c>
      <c r="C52" s="48">
        <f>680375.64+313500+832040</f>
        <v>1825915.6400000001</v>
      </c>
      <c r="D52" s="49">
        <v>5803225</v>
      </c>
      <c r="E52" s="49">
        <v>6056424</v>
      </c>
      <c r="F52" s="49">
        <v>6066724</v>
      </c>
      <c r="G52" s="49">
        <v>6076324</v>
      </c>
      <c r="H52" s="32">
        <f>E52-C52</f>
        <v>4230508.3599999994</v>
      </c>
      <c r="I52" s="33">
        <f t="shared" ref="I52" si="7">ROUND(E52/C52*100-100,1)</f>
        <v>231.7</v>
      </c>
      <c r="J52" s="33">
        <f>E52-D52</f>
        <v>253199</v>
      </c>
      <c r="K52" s="33">
        <f t="shared" ref="K52" si="8">ROUND(E52/D52*100-100,1)</f>
        <v>4.4000000000000004</v>
      </c>
      <c r="L52" s="6"/>
      <c r="M52" s="2"/>
      <c r="N52" s="2"/>
      <c r="O52" s="2"/>
      <c r="P52" s="2"/>
      <c r="Q52" s="2"/>
      <c r="R52" s="2"/>
      <c r="S52" s="2"/>
    </row>
    <row r="53" spans="1:19" ht="15" customHeight="1" outlineLevel="1" x14ac:dyDescent="0.25">
      <c r="A53" s="31" t="s">
        <v>76</v>
      </c>
      <c r="B53" s="31" t="s">
        <v>77</v>
      </c>
      <c r="C53" s="48">
        <f>113328846.43+22045460.01+13691578.9</f>
        <v>149065885.34</v>
      </c>
      <c r="D53" s="49">
        <v>166959012.59999999</v>
      </c>
      <c r="E53" s="49">
        <v>176124203.30000001</v>
      </c>
      <c r="F53" s="49">
        <v>178242103.30000001</v>
      </c>
      <c r="G53" s="49">
        <v>178489903.30000001</v>
      </c>
      <c r="H53" s="32">
        <f>E53-C53</f>
        <v>27058317.960000008</v>
      </c>
      <c r="I53" s="33">
        <f>ROUND(E53/C53*100-100,1)</f>
        <v>18.2</v>
      </c>
      <c r="J53" s="33">
        <f>E53-D53</f>
        <v>9165190.7000000179</v>
      </c>
      <c r="K53" s="33">
        <f>ROUND(E53/D53*100-100,1)</f>
        <v>5.5</v>
      </c>
      <c r="L53" s="6"/>
      <c r="M53" s="2"/>
      <c r="N53" s="2"/>
      <c r="O53" s="2"/>
      <c r="P53" s="2"/>
      <c r="Q53" s="2"/>
      <c r="R53" s="2"/>
      <c r="S53" s="2"/>
    </row>
    <row r="54" spans="1:19" ht="15" customHeight="1" outlineLevel="1" x14ac:dyDescent="0.25">
      <c r="A54" s="31" t="s">
        <v>78</v>
      </c>
      <c r="B54" s="31" t="s">
        <v>79</v>
      </c>
      <c r="C54" s="48">
        <f>1369640</f>
        <v>1369640</v>
      </c>
      <c r="D54" s="49">
        <v>3153200</v>
      </c>
      <c r="E54" s="49">
        <v>1975376</v>
      </c>
      <c r="F54" s="49">
        <v>1975376</v>
      </c>
      <c r="G54" s="49">
        <v>1975376</v>
      </c>
      <c r="H54" s="32">
        <f>E54-C54</f>
        <v>605736</v>
      </c>
      <c r="I54" s="33">
        <f>ROUND(E54/C54*100-100,1)</f>
        <v>44.2</v>
      </c>
      <c r="J54" s="33">
        <f>E54-D54</f>
        <v>-1177824</v>
      </c>
      <c r="K54" s="33">
        <f>ROUND(E54/D54*100-100,1)</f>
        <v>-37.4</v>
      </c>
      <c r="L54" s="6"/>
      <c r="M54" s="2"/>
      <c r="N54" s="2"/>
      <c r="O54" s="2"/>
      <c r="P54" s="2"/>
      <c r="Q54" s="2"/>
      <c r="R54" s="2"/>
      <c r="S54" s="2"/>
    </row>
    <row r="55" spans="1:19" ht="15" customHeight="1" x14ac:dyDescent="0.25">
      <c r="A55" s="26" t="s">
        <v>80</v>
      </c>
      <c r="B55" s="26" t="s">
        <v>81</v>
      </c>
      <c r="C55" s="42">
        <f>C56+C57+C58+C59</f>
        <v>203518360.86000001</v>
      </c>
      <c r="D55" s="42">
        <f>D56+D57+D58+D59</f>
        <v>293044498.82000005</v>
      </c>
      <c r="E55" s="42">
        <f>E56+E57+E58+E59</f>
        <v>237686938.67000002</v>
      </c>
      <c r="F55" s="42">
        <f>F56+F57+F58+F59</f>
        <v>195746124.72</v>
      </c>
      <c r="G55" s="42">
        <f>G56+G57+G58+G59</f>
        <v>195746124.72</v>
      </c>
      <c r="H55" s="28">
        <f>H56+H57+H58+H59</f>
        <v>34168577.809999995</v>
      </c>
      <c r="I55" s="29">
        <f>ROUND(E55/C55*100-100,1)</f>
        <v>16.8</v>
      </c>
      <c r="J55" s="30">
        <f>J56+J57+J58+J59</f>
        <v>-55357560.150000013</v>
      </c>
      <c r="K55" s="29">
        <f>ROUND(E55/D55*100-100,1)</f>
        <v>-18.899999999999999</v>
      </c>
      <c r="L55" s="6"/>
      <c r="M55" s="2"/>
      <c r="N55" s="2"/>
      <c r="O55" s="2"/>
      <c r="P55" s="2"/>
      <c r="Q55" s="2"/>
      <c r="R55" s="2"/>
      <c r="S55" s="2"/>
    </row>
    <row r="56" spans="1:19" ht="15" customHeight="1" outlineLevel="1" x14ac:dyDescent="0.25">
      <c r="A56" s="31" t="s">
        <v>82</v>
      </c>
      <c r="B56" s="31" t="s">
        <v>83</v>
      </c>
      <c r="C56" s="48">
        <f>65596449.49</f>
        <v>65596449.490000002</v>
      </c>
      <c r="D56" s="43">
        <v>161074403.68000001</v>
      </c>
      <c r="E56" s="52">
        <v>80445552</v>
      </c>
      <c r="F56" s="52">
        <v>80445552</v>
      </c>
      <c r="G56" s="52">
        <v>80445552</v>
      </c>
      <c r="H56" s="32">
        <f>E56-C56</f>
        <v>14849102.509999998</v>
      </c>
      <c r="I56" s="33">
        <f>ROUND(E56/C56*100-100,1)</f>
        <v>22.6</v>
      </c>
      <c r="J56" s="33">
        <f>E56-D56</f>
        <v>-80628851.680000007</v>
      </c>
      <c r="K56" s="33">
        <f>ROUND(E56/D56*100-100,1)</f>
        <v>-50.1</v>
      </c>
      <c r="L56" s="6"/>
      <c r="M56" s="2"/>
      <c r="N56" s="2"/>
      <c r="O56" s="2"/>
      <c r="P56" s="2"/>
      <c r="Q56" s="2"/>
      <c r="R56" s="2"/>
      <c r="S56" s="2"/>
    </row>
    <row r="57" spans="1:19" ht="15" customHeight="1" outlineLevel="1" x14ac:dyDescent="0.25">
      <c r="A57" s="31" t="s">
        <v>84</v>
      </c>
      <c r="B57" s="31" t="s">
        <v>85</v>
      </c>
      <c r="C57" s="48">
        <f>12302631.58</f>
        <v>12302631.58</v>
      </c>
      <c r="D57" s="43">
        <v>9513157.9000000004</v>
      </c>
      <c r="E57" s="52">
        <v>4250000</v>
      </c>
      <c r="F57" s="52">
        <v>4250000</v>
      </c>
      <c r="G57" s="52">
        <v>4250000</v>
      </c>
      <c r="H57" s="32">
        <f>E57-C57</f>
        <v>-8052631.5800000001</v>
      </c>
      <c r="I57" s="33">
        <f>ROUND(E57/C57*100-100,1)</f>
        <v>-65.5</v>
      </c>
      <c r="J57" s="33">
        <f>E57-D57</f>
        <v>-5263157.9000000004</v>
      </c>
      <c r="K57" s="33">
        <f>ROUND(E57/D57*100-100,1)</f>
        <v>-55.3</v>
      </c>
      <c r="L57" s="6"/>
      <c r="M57" s="2"/>
      <c r="N57" s="2"/>
      <c r="O57" s="2"/>
      <c r="P57" s="2"/>
      <c r="Q57" s="2"/>
      <c r="R57" s="2"/>
      <c r="S57" s="2"/>
    </row>
    <row r="58" spans="1:19" ht="15" customHeight="1" outlineLevel="1" x14ac:dyDescent="0.25">
      <c r="A58" s="31" t="s">
        <v>86</v>
      </c>
      <c r="B58" s="31" t="s">
        <v>87</v>
      </c>
      <c r="C58" s="48">
        <f>114502335.09</f>
        <v>114502335.09</v>
      </c>
      <c r="D58" s="43">
        <v>111469085.39</v>
      </c>
      <c r="E58" s="52">
        <v>100366638.72</v>
      </c>
      <c r="F58" s="52">
        <v>100366638.72</v>
      </c>
      <c r="G58" s="52">
        <v>100366638.72</v>
      </c>
      <c r="H58" s="32">
        <f>E58-C58</f>
        <v>-14135696.370000005</v>
      </c>
      <c r="I58" s="33">
        <f>ROUND(E58/C58*100-100,1)</f>
        <v>-12.3</v>
      </c>
      <c r="J58" s="33">
        <f>E58-D58</f>
        <v>-11102446.670000002</v>
      </c>
      <c r="K58" s="33">
        <f>ROUND(E58/D58*100-100,1)</f>
        <v>-10</v>
      </c>
      <c r="L58" s="6"/>
      <c r="M58" s="2"/>
      <c r="N58" s="2"/>
      <c r="O58" s="2"/>
      <c r="P58" s="2"/>
      <c r="Q58" s="2"/>
      <c r="R58" s="2"/>
      <c r="S58" s="2"/>
    </row>
    <row r="59" spans="1:19" ht="15" customHeight="1" outlineLevel="1" x14ac:dyDescent="0.25">
      <c r="A59" s="31" t="s">
        <v>88</v>
      </c>
      <c r="B59" s="31" t="s">
        <v>89</v>
      </c>
      <c r="C59" s="48">
        <f>11116944.7</f>
        <v>11116944.699999999</v>
      </c>
      <c r="D59" s="49">
        <v>10987851.85</v>
      </c>
      <c r="E59" s="49">
        <v>52624747.950000003</v>
      </c>
      <c r="F59" s="49">
        <v>10683934</v>
      </c>
      <c r="G59" s="49">
        <v>10683934</v>
      </c>
      <c r="H59" s="32">
        <f>E59-C59</f>
        <v>41507803.25</v>
      </c>
      <c r="I59" s="33">
        <f>ROUND(E59/C59*100-100,1)</f>
        <v>373.4</v>
      </c>
      <c r="J59" s="33">
        <f>E59-D59</f>
        <v>41636896.100000001</v>
      </c>
      <c r="K59" s="33">
        <f>ROUND(E59/D59*100-100,1)</f>
        <v>378.9</v>
      </c>
      <c r="L59" s="6"/>
      <c r="M59" s="2"/>
      <c r="N59" s="2"/>
      <c r="O59" s="2"/>
      <c r="P59" s="2"/>
      <c r="Q59" s="2"/>
      <c r="R59" s="2"/>
      <c r="S59" s="2"/>
    </row>
    <row r="60" spans="1:19" ht="15" customHeight="1" x14ac:dyDescent="0.25">
      <c r="A60" s="26" t="s">
        <v>90</v>
      </c>
      <c r="B60" s="26" t="s">
        <v>91</v>
      </c>
      <c r="C60" s="42">
        <f>C61</f>
        <v>259322.74</v>
      </c>
      <c r="D60" s="42">
        <f t="shared" ref="D60:J60" si="9">D61</f>
        <v>8355693.9100000001</v>
      </c>
      <c r="E60" s="42">
        <f t="shared" si="9"/>
        <v>38241443.780000001</v>
      </c>
      <c r="F60" s="42">
        <f t="shared" si="9"/>
        <v>15777309.310000001</v>
      </c>
      <c r="G60" s="42">
        <f t="shared" si="9"/>
        <v>15556357.26</v>
      </c>
      <c r="H60" s="28">
        <f t="shared" si="9"/>
        <v>37982121.039999999</v>
      </c>
      <c r="I60" s="29">
        <f>ROUND(E60/C60*100-100,1)</f>
        <v>14646.7</v>
      </c>
      <c r="J60" s="30">
        <f t="shared" si="9"/>
        <v>29885749.870000001</v>
      </c>
      <c r="K60" s="29">
        <f t="shared" ref="K60:K61" si="10">ROUND(E60/D60*100-100,1)</f>
        <v>357.7</v>
      </c>
      <c r="L60" s="6"/>
      <c r="M60" s="2"/>
      <c r="N60" s="2"/>
      <c r="O60" s="2"/>
      <c r="P60" s="2"/>
      <c r="Q60" s="2"/>
      <c r="R60" s="2"/>
      <c r="S60" s="2"/>
    </row>
    <row r="61" spans="1:19" ht="15" customHeight="1" outlineLevel="1" x14ac:dyDescent="0.25">
      <c r="A61" s="31" t="s">
        <v>92</v>
      </c>
      <c r="B61" s="31" t="s">
        <v>93</v>
      </c>
      <c r="C61" s="48">
        <f>259322.74</f>
        <v>259322.74</v>
      </c>
      <c r="D61" s="43">
        <v>8355693.9100000001</v>
      </c>
      <c r="E61" s="52">
        <v>38241443.780000001</v>
      </c>
      <c r="F61" s="52">
        <v>15777309.310000001</v>
      </c>
      <c r="G61" s="52">
        <v>15556357.26</v>
      </c>
      <c r="H61" s="32">
        <f>E61-C61</f>
        <v>37982121.039999999</v>
      </c>
      <c r="I61" s="33">
        <f>ROUND(E61/C61*100-100,1)</f>
        <v>14646.7</v>
      </c>
      <c r="J61" s="33">
        <f>E61-D61</f>
        <v>29885749.870000001</v>
      </c>
      <c r="K61" s="33">
        <f t="shared" si="10"/>
        <v>357.7</v>
      </c>
      <c r="L61" s="6"/>
      <c r="M61" s="2"/>
      <c r="N61" s="2"/>
      <c r="O61" s="2"/>
      <c r="P61" s="2"/>
      <c r="Q61" s="2"/>
      <c r="R61" s="2"/>
      <c r="S61" s="2"/>
    </row>
    <row r="62" spans="1:19" ht="27" customHeight="1" outlineLevel="6" x14ac:dyDescent="0.25">
      <c r="A62" s="34" t="s">
        <v>95</v>
      </c>
      <c r="B62" s="35"/>
      <c r="C62" s="49">
        <v>0</v>
      </c>
      <c r="D62" s="49">
        <v>0</v>
      </c>
      <c r="E62" s="53"/>
      <c r="F62" s="54">
        <v>41632782.969999999</v>
      </c>
      <c r="G62" s="54">
        <v>84835868.269999996</v>
      </c>
      <c r="H62" s="36">
        <f>E62-C62</f>
        <v>0</v>
      </c>
      <c r="I62" s="29" t="s">
        <v>104</v>
      </c>
      <c r="J62" s="33">
        <f>E62-D62</f>
        <v>0</v>
      </c>
      <c r="K62" s="33" t="s">
        <v>104</v>
      </c>
      <c r="L62" s="6"/>
      <c r="M62" s="2"/>
      <c r="N62" s="2"/>
      <c r="O62" s="2"/>
      <c r="P62" s="2"/>
      <c r="Q62" s="2"/>
      <c r="R62" s="2"/>
      <c r="S62" s="2"/>
    </row>
    <row r="63" spans="1:19" ht="12.75" customHeight="1" x14ac:dyDescent="0.25">
      <c r="A63" s="37" t="s">
        <v>94</v>
      </c>
      <c r="B63" s="37"/>
      <c r="C63" s="50">
        <f>C9+C18+C20+C26+C31+C36+C38+C45+C50+C55+C60+C48</f>
        <v>3347278651.1199999</v>
      </c>
      <c r="D63" s="50">
        <f>D9+D18+D20+D26+D31+D36+D38+D45+D50+D55+D60+D48</f>
        <v>3997012408.7999997</v>
      </c>
      <c r="E63" s="55">
        <f>E9+E18+E20+E26+E31+E36+E38+E45+E50+E55+E60+E48</f>
        <v>3711455508.9100003</v>
      </c>
      <c r="F63" s="55">
        <f>F9+F18+F20+F26+F31+F36+F38+F45+F50+F55+F60+F48+F62</f>
        <v>3707715343.77</v>
      </c>
      <c r="G63" s="55">
        <f>G9+G18+G20+G26+G31+G36+G38+G45+G50+G55+G60+G48+G62</f>
        <v>3686073000.1700006</v>
      </c>
      <c r="H63" s="56">
        <f>H9+H18+H20+H26+H31+H36+H38+H45+H50+H55+H60+H62</f>
        <v>365934960.38999993</v>
      </c>
      <c r="I63" s="29">
        <f>ROUND(E63/C63*100-100,1)</f>
        <v>10.9</v>
      </c>
      <c r="J63" s="38">
        <f>J9+J18+J20+J26+J31+J36+J38+J45+J50+J55+J60+J62</f>
        <v>-283605471.88999999</v>
      </c>
      <c r="K63" s="29">
        <f>ROUND(E63/D63*100-100,1)</f>
        <v>-7.1</v>
      </c>
      <c r="L63" s="6"/>
      <c r="M63" s="2"/>
      <c r="N63" s="2"/>
      <c r="O63" s="2"/>
      <c r="P63" s="2"/>
      <c r="Q63" s="2"/>
      <c r="R63" s="2"/>
    </row>
    <row r="64" spans="1:19" ht="12.75" customHeight="1" x14ac:dyDescent="0.25">
      <c r="A64" s="39"/>
      <c r="B64" s="39"/>
      <c r="C64" s="51"/>
      <c r="D64" s="39"/>
      <c r="E64" s="39"/>
      <c r="F64" s="39"/>
      <c r="G64" s="39"/>
      <c r="H64" s="39"/>
      <c r="I64" s="39"/>
      <c r="J64" s="39"/>
      <c r="K64" s="39"/>
      <c r="L64" s="2"/>
      <c r="M64" s="2"/>
      <c r="N64" s="2"/>
      <c r="O64" s="2"/>
      <c r="P64" s="2"/>
      <c r="Q64" s="2"/>
      <c r="R64" s="2"/>
    </row>
    <row r="65" spans="1:18" ht="12.75" customHeight="1" x14ac:dyDescent="0.25">
      <c r="A65" s="68"/>
      <c r="B65" s="68"/>
      <c r="C65" s="69"/>
      <c r="D65" s="70"/>
      <c r="E65" s="71"/>
      <c r="F65" s="71"/>
      <c r="G65" s="71"/>
      <c r="H65" s="71"/>
      <c r="I65" s="71"/>
      <c r="J65" s="71"/>
      <c r="K65" s="71"/>
      <c r="L65" s="72"/>
      <c r="M65" s="7"/>
      <c r="N65" s="2"/>
      <c r="O65" s="2"/>
      <c r="P65" s="2"/>
      <c r="Q65" s="2"/>
      <c r="R65" s="2"/>
    </row>
    <row r="66" spans="1:18" x14ac:dyDescent="0.25">
      <c r="F66" s="41"/>
      <c r="G66" s="41"/>
      <c r="H66" s="41"/>
      <c r="J66" s="41"/>
    </row>
    <row r="67" spans="1:18" x14ac:dyDescent="0.25">
      <c r="H67" s="41"/>
      <c r="J67" s="41"/>
    </row>
  </sheetData>
  <autoFilter ref="A8:K63">
    <filterColumn colId="2">
      <filters blank="1"/>
    </filterColumn>
  </autoFilter>
  <mergeCells count="13">
    <mergeCell ref="A65:C65"/>
    <mergeCell ref="D65:L65"/>
    <mergeCell ref="A6:A7"/>
    <mergeCell ref="B6:B7"/>
    <mergeCell ref="C6:C7"/>
    <mergeCell ref="D6:D7"/>
    <mergeCell ref="E6:E7"/>
    <mergeCell ref="A3:K3"/>
    <mergeCell ref="A5:K5"/>
    <mergeCell ref="G6:G7"/>
    <mergeCell ref="H6:I6"/>
    <mergeCell ref="J6:K6"/>
    <mergeCell ref="F6:F7"/>
  </mergeCells>
  <pageMargins left="0.98425196850393704" right="0.59055118110236227" top="0.59055118110236227" bottom="0.59055118110236227" header="0.39370078740157483" footer="0.39370078740157483"/>
  <pageSetup paperSize="9" scale="78" fitToHeight="0" orientation="portrait" blackAndWhite="1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6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Документ</vt:lpstr>
      <vt:lpstr>Лист1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Трифонова Ольга Анатольевна</dc:creator>
  <cp:lastModifiedBy>Трифонова Ольга Анатольевна</cp:lastModifiedBy>
  <cp:lastPrinted>2022-12-16T12:12:00Z</cp:lastPrinted>
  <dcterms:created xsi:type="dcterms:W3CDTF">2017-11-14T13:45:32Z</dcterms:created>
  <dcterms:modified xsi:type="dcterms:W3CDTF">2024-11-29T13:42:45Z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группировкой_3.xls</vt:lpwstr>
  </property>
  <property fmtid="{D5CDD505-2E9C-101B-9397-08002B2CF9AE}" pid="3" name="Название отчета">
    <vt:lpwstr>Генератор отчетов с произвольной группировкой_3.xls</vt:lpwstr>
  </property>
  <property fmtid="{D5CDD505-2E9C-101B-9397-08002B2CF9AE}" pid="4" name="Версия клиента">
    <vt:lpwstr>17.3.1.9292</vt:lpwstr>
  </property>
  <property fmtid="{D5CDD505-2E9C-101B-9397-08002B2CF9AE}" pid="5" name="Версия базы">
    <vt:lpwstr>17.3.0.3200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agb_2018</vt:lpwstr>
  </property>
  <property fmtid="{D5CDD505-2E9C-101B-9397-08002B2CF9AE}" pid="9" name="Пользователь">
    <vt:lpwstr>madm\трифонова</vt:lpwstr>
  </property>
  <property fmtid="{D5CDD505-2E9C-101B-9397-08002B2CF9AE}" pid="10" name="Шаблон">
    <vt:lpwstr>SQR_GENERATOR2016</vt:lpwstr>
  </property>
</Properties>
</file>