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er\обмен\БЮДЖЕТ\БЮДЖЕТ 2022\"/>
    </mc:Choice>
  </mc:AlternateContent>
  <bookViews>
    <workbookView xWindow="0" yWindow="0" windowWidth="28800" windowHeight="12435" activeTab="1"/>
  </bookViews>
  <sheets>
    <sheet name="КФиС" sheetId="3" r:id="rId1"/>
    <sheet name="КФиС с проверкой" sheetId="5" r:id="rId2"/>
  </sheets>
  <definedNames>
    <definedName name="_xlnm._FilterDatabase" localSheetId="0" hidden="1">КФиС!$A$5:$J$5</definedName>
    <definedName name="_xlnm._FilterDatabase" localSheetId="1" hidden="1">'КФиС с проверкой'!$A$5:$J$5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91" i="5" l="1"/>
  <c r="H91" i="5"/>
  <c r="G91" i="5"/>
  <c r="F91" i="5"/>
  <c r="F92" i="5" s="1"/>
  <c r="F94" i="5" s="1"/>
  <c r="F90" i="5"/>
  <c r="I89" i="5"/>
  <c r="H89" i="5"/>
  <c r="G89" i="5"/>
  <c r="L89" i="5" s="1"/>
  <c r="F89" i="5"/>
  <c r="K89" i="5" s="1"/>
  <c r="I88" i="5"/>
  <c r="H88" i="5"/>
  <c r="G88" i="5"/>
  <c r="L88" i="5" s="1"/>
  <c r="F88" i="5"/>
  <c r="I86" i="5"/>
  <c r="I92" i="5" s="1"/>
  <c r="H86" i="5"/>
  <c r="H92" i="5" s="1"/>
  <c r="G86" i="5"/>
  <c r="G92" i="5" s="1"/>
  <c r="F86" i="5"/>
  <c r="K86" i="5" s="1"/>
  <c r="H82" i="5"/>
  <c r="F82" i="5"/>
  <c r="E82" i="5"/>
  <c r="E84" i="5" s="1"/>
  <c r="I76" i="5"/>
  <c r="I82" i="5" s="1"/>
  <c r="H76" i="5"/>
  <c r="G76" i="5"/>
  <c r="G82" i="5" s="1"/>
  <c r="N70" i="5"/>
  <c r="N90" i="5" s="1"/>
  <c r="J70" i="5"/>
  <c r="I70" i="5"/>
  <c r="H70" i="5"/>
  <c r="M70" i="5" s="1"/>
  <c r="M90" i="5" s="1"/>
  <c r="G70" i="5"/>
  <c r="L70" i="5" s="1"/>
  <c r="L90" i="5" s="1"/>
  <c r="F70" i="5"/>
  <c r="K70" i="5" s="1"/>
  <c r="K90" i="5" s="1"/>
  <c r="K68" i="5"/>
  <c r="I68" i="5"/>
  <c r="H68" i="5"/>
  <c r="G68" i="5"/>
  <c r="F68" i="5"/>
  <c r="E68" i="5"/>
  <c r="J68" i="5" s="1"/>
  <c r="I66" i="5"/>
  <c r="H66" i="5"/>
  <c r="G66" i="5"/>
  <c r="F66" i="5"/>
  <c r="I64" i="5"/>
  <c r="H64" i="5"/>
  <c r="G64" i="5"/>
  <c r="I62" i="5"/>
  <c r="H62" i="5"/>
  <c r="G62" i="5"/>
  <c r="I60" i="5"/>
  <c r="H60" i="5"/>
  <c r="G60" i="5"/>
  <c r="I58" i="5"/>
  <c r="N68" i="5" s="1"/>
  <c r="H58" i="5"/>
  <c r="M68" i="5" s="1"/>
  <c r="G58" i="5"/>
  <c r="L68" i="5" s="1"/>
  <c r="I56" i="5"/>
  <c r="H56" i="5"/>
  <c r="G56" i="5"/>
  <c r="I54" i="5"/>
  <c r="H54" i="5"/>
  <c r="G54" i="5"/>
  <c r="I52" i="5"/>
  <c r="H52" i="5"/>
  <c r="G52" i="5"/>
  <c r="I50" i="5"/>
  <c r="H50" i="5"/>
  <c r="G50" i="5"/>
  <c r="I48" i="5"/>
  <c r="H48" i="5"/>
  <c r="G48" i="5"/>
  <c r="I46" i="5"/>
  <c r="H46" i="5"/>
  <c r="G46" i="5"/>
  <c r="I44" i="5"/>
  <c r="H44" i="5"/>
  <c r="G44" i="5"/>
  <c r="I42" i="5"/>
  <c r="H42" i="5"/>
  <c r="G42" i="5"/>
  <c r="I40" i="5"/>
  <c r="H40" i="5"/>
  <c r="G40" i="5"/>
  <c r="I38" i="5"/>
  <c r="N56" i="5" s="1"/>
  <c r="H38" i="5"/>
  <c r="M56" i="5" s="1"/>
  <c r="G38" i="5"/>
  <c r="L56" i="5" s="1"/>
  <c r="F38" i="5"/>
  <c r="K56" i="5" s="1"/>
  <c r="E38" i="5"/>
  <c r="E71" i="5" s="1"/>
  <c r="J36" i="5"/>
  <c r="I36" i="5"/>
  <c r="H36" i="5"/>
  <c r="G36" i="5"/>
  <c r="F36" i="5"/>
  <c r="I34" i="5"/>
  <c r="H34" i="5"/>
  <c r="F34" i="5"/>
  <c r="K36" i="5" s="1"/>
  <c r="K91" i="5" s="1"/>
  <c r="I30" i="5"/>
  <c r="N36" i="5" s="1"/>
  <c r="H30" i="5"/>
  <c r="M36" i="5" s="1"/>
  <c r="G30" i="5"/>
  <c r="L36" i="5" s="1"/>
  <c r="N26" i="5"/>
  <c r="M26" i="5"/>
  <c r="K26" i="5"/>
  <c r="J26" i="5"/>
  <c r="G26" i="5"/>
  <c r="L26" i="5" s="1"/>
  <c r="F26" i="5"/>
  <c r="J18" i="5"/>
  <c r="I18" i="5"/>
  <c r="I71" i="5" s="1"/>
  <c r="H18" i="5"/>
  <c r="H71" i="5" s="1"/>
  <c r="G18" i="5"/>
  <c r="G71" i="5" s="1"/>
  <c r="N18" i="5"/>
  <c r="N87" i="5" s="1"/>
  <c r="M18" i="5"/>
  <c r="M87" i="5" s="1"/>
  <c r="L18" i="5"/>
  <c r="L87" i="5" s="1"/>
  <c r="F12" i="5"/>
  <c r="K18" i="5" s="1"/>
  <c r="K87" i="5" s="1"/>
  <c r="G84" i="5" l="1"/>
  <c r="G94" i="5"/>
  <c r="M88" i="5"/>
  <c r="M89" i="5"/>
  <c r="L91" i="5"/>
  <c r="H94" i="5"/>
  <c r="N88" i="5"/>
  <c r="N89" i="5"/>
  <c r="M91" i="5"/>
  <c r="I94" i="5"/>
  <c r="I84" i="5"/>
  <c r="K88" i="5"/>
  <c r="N91" i="5"/>
  <c r="L86" i="5"/>
  <c r="J56" i="5"/>
  <c r="H84" i="5"/>
  <c r="M86" i="5"/>
  <c r="F71" i="5"/>
  <c r="F84" i="5" s="1"/>
  <c r="N86" i="5"/>
  <c r="N18" i="3"/>
  <c r="M18" i="3"/>
  <c r="L18" i="3"/>
  <c r="K18" i="3"/>
  <c r="J18" i="3"/>
  <c r="I34" i="3"/>
  <c r="H34" i="3"/>
  <c r="I70" i="3"/>
  <c r="H70" i="3"/>
  <c r="G70" i="3"/>
  <c r="F70" i="3"/>
  <c r="I66" i="3"/>
  <c r="G66" i="3"/>
  <c r="F66" i="3"/>
  <c r="I38" i="3"/>
  <c r="H38" i="3"/>
  <c r="G38" i="3"/>
  <c r="F38" i="3"/>
  <c r="E38" i="3"/>
  <c r="G26" i="3"/>
  <c r="F26" i="3"/>
  <c r="F12" i="3"/>
  <c r="H66" i="3"/>
  <c r="I68" i="3"/>
  <c r="H68" i="3"/>
  <c r="H64" i="3"/>
  <c r="I64" i="3"/>
  <c r="I62" i="3"/>
  <c r="H62" i="3"/>
  <c r="I60" i="3"/>
  <c r="H60" i="3"/>
  <c r="H58" i="3"/>
  <c r="I58" i="3"/>
  <c r="I56" i="3"/>
  <c r="H56" i="3"/>
  <c r="H54" i="3"/>
  <c r="H52" i="3"/>
  <c r="I54" i="3"/>
  <c r="I52" i="3"/>
  <c r="I50" i="3"/>
  <c r="I48" i="3"/>
  <c r="H50" i="3"/>
  <c r="H48" i="3"/>
  <c r="H46" i="3"/>
  <c r="I46" i="3"/>
  <c r="I44" i="3"/>
  <c r="H44" i="3"/>
  <c r="H42" i="3"/>
  <c r="I42" i="3"/>
  <c r="I40" i="3"/>
  <c r="H40" i="3"/>
  <c r="G40" i="3"/>
  <c r="G42" i="3"/>
  <c r="G44" i="3"/>
  <c r="G46" i="3"/>
  <c r="G48" i="3"/>
  <c r="G50" i="3"/>
  <c r="G52" i="3"/>
  <c r="G54" i="3"/>
  <c r="G56" i="3"/>
  <c r="G58" i="3"/>
  <c r="G60" i="3"/>
  <c r="G62" i="3"/>
  <c r="G64" i="3"/>
  <c r="G68" i="3"/>
  <c r="F68" i="3" l="1"/>
  <c r="E68" i="3"/>
  <c r="I36" i="3"/>
  <c r="H36" i="3"/>
  <c r="I30" i="3"/>
  <c r="H30" i="3"/>
  <c r="F36" i="3"/>
  <c r="F34" i="3"/>
  <c r="G36" i="3"/>
  <c r="G30" i="3"/>
  <c r="I71" i="3" l="1"/>
  <c r="H71" i="3"/>
  <c r="F71" i="3"/>
  <c r="I18" i="3"/>
  <c r="H18" i="3"/>
  <c r="G18" i="3"/>
  <c r="G71" i="3" l="1"/>
  <c r="E71" i="3" l="1"/>
</calcChain>
</file>

<file path=xl/sharedStrings.xml><?xml version="1.0" encoding="utf-8"?>
<sst xmlns="http://schemas.openxmlformats.org/spreadsheetml/2006/main" count="426" uniqueCount="102">
  <si>
    <t>№ п/п</t>
  </si>
  <si>
    <t xml:space="preserve">Наименование показателя
</t>
  </si>
  <si>
    <t>Единица измерения</t>
  </si>
  <si>
    <t>План на 2022 год</t>
  </si>
  <si>
    <t>1.1</t>
  </si>
  <si>
    <t>Показатель, характеризующий объем государственной услуги (работы)</t>
  </si>
  <si>
    <t>Объем субсидий на финансовое обеспечение оказания государственных услуг (выполнения работы)</t>
  </si>
  <si>
    <t>тыс. руб.</t>
  </si>
  <si>
    <t>1.2</t>
  </si>
  <si>
    <t>1.3</t>
  </si>
  <si>
    <t>Объем средств на финансовое обеспечение оказания соответствующей государственной услуги (выполнения работы)</t>
  </si>
  <si>
    <t>тыс. рублей</t>
  </si>
  <si>
    <t>План на 2023 год</t>
  </si>
  <si>
    <t>Наименование муниципальной услуги (работы)</t>
  </si>
  <si>
    <t>Комитет по физической культуре и спорту Администрации города Апатиты</t>
  </si>
  <si>
    <t>Итого объем финансового обеспечения оказания государственных услуг (работ) по Комитету по физической культуре и спорту Администрации города Апатиты</t>
  </si>
  <si>
    <t>Организация и проведение официальных физкультурных (физкультурно-оздоровительных) мероприятий</t>
  </si>
  <si>
    <t>штук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</si>
  <si>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</si>
  <si>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</si>
  <si>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</si>
  <si>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</si>
  <si>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</si>
  <si>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</si>
  <si>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</si>
  <si>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</si>
  <si>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</si>
  <si>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</si>
  <si>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</si>
  <si>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</si>
  <si>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</si>
  <si>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</si>
  <si>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</si>
  <si>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</si>
  <si>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</si>
  <si>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</si>
  <si>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</si>
  <si>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</si>
  <si>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</si>
  <si>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</si>
  <si>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</si>
  <si>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</si>
  <si>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Обеспечение участия в официальных физкультурных (физкультурно-оздоровительных) мероприятиях</t>
  </si>
  <si>
    <t>Организация и проведение официальных спортивных мероприятий</t>
  </si>
  <si>
    <t>Обеспечение участия спортивных сборных команд в официальных спортивных мероприятиях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</si>
  <si>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(за исключением тестирования выполнения нормативов испытаний комплекса ГТО)</t>
  </si>
  <si>
    <t>мероприятие</t>
  </si>
  <si>
    <t>Организация мероприятий по подготовке спортивных сборных команд</t>
  </si>
  <si>
    <t>Проведение тестирования выполнения нормативов испытаний (тестов) комплекса ГТО</t>
  </si>
  <si>
    <t>кол-во объектов</t>
  </si>
  <si>
    <t>Обеспечение доступа к объектам спорта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</si>
  <si>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</si>
  <si>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единица</t>
  </si>
  <si>
    <t>лиц</t>
  </si>
  <si>
    <t>Спортивная подготовка по олимпийским видам спорта» (вид спорта – плавание, этап начальной подготовки)</t>
  </si>
  <si>
    <t>Спортивная подготовка по олимпийским видам спорта» (вид спорта – плавание, тренировочный этап (этап спортивной специализации)</t>
  </si>
  <si>
    <t>Спортивная подготовка по олимпийским видам спорта» (вид спорта – хоккей, этап начальной подготовки)</t>
  </si>
  <si>
    <t>Спортивная подготовка по олимпийским видам спорта» (вид спорта – хоккей, тренировочный этап (этап спортивной специализации)</t>
  </si>
  <si>
    <t>Спортивная подготовка по олимпийским видам спорта» (вид спорта – фигурное катание на коньках, этап начальной подготовки)</t>
  </si>
  <si>
    <t xml:space="preserve">Спортивная подготовка по олимпийским видам спорта» (вид спорта – фигурное катание на коньках, тренировочный этап (этап спортивной специализации) </t>
  </si>
  <si>
    <t>Спортивная подготовка по олимпийским видам спорта» (вид спорта – баскетбол, этап начальной подготовки)</t>
  </si>
  <si>
    <t xml:space="preserve">Спортивная подготовка по олимпийским видам спорта» (вид спорта – баскетбол, тренировочный этап (этап спортивной специализации) </t>
  </si>
  <si>
    <t>Спортивная подготовка по олимпийским видам спорта» (вид спорта – дзюдо, этап начальной подготовки)</t>
  </si>
  <si>
    <t xml:space="preserve">Спортивная подготовка по олимпийским видам спорта» (вид спорта – дзюдо, тренировочный этап (этап спортивной специализации) </t>
  </si>
  <si>
    <t>1.28</t>
  </si>
  <si>
    <t>1.29</t>
  </si>
  <si>
    <t>1.30</t>
  </si>
  <si>
    <t>1.31</t>
  </si>
  <si>
    <t>кол-во посещений</t>
  </si>
  <si>
    <t>Спортивная подготовка по олимпийским видам спорта» (вид спорта – бокс, этап начальной подготовки)</t>
  </si>
  <si>
    <t xml:space="preserve">Спортивная подготовка по олимпийским видам спорта» (вид спорта – бокс, тренировочный этап (этап спортивной специализации) </t>
  </si>
  <si>
    <t>Спортивная подготовка по олимпийским видам спорта» (вид спорта – лыжные гонки, этап начальной подготовки)</t>
  </si>
  <si>
    <t xml:space="preserve">Спортивная подготовка по олимпийским видам спорта» (вид спорта – лыжные гонки, тренировочный этап (этап спортивной специализации) </t>
  </si>
  <si>
    <t>Спортивная подготовка по олимпийским видам спорта» (вид спорта – футбол, этап начальной подготовки)</t>
  </si>
  <si>
    <t xml:space="preserve">Спортивная подготовка по олимпийским видам спорта» (вид спорта – футбол, тренировочный этап (этап спортивной специализации) </t>
  </si>
  <si>
    <t>привлеченных лиц</t>
  </si>
  <si>
    <t>Приложение 1</t>
  </si>
  <si>
    <t>Сведения о планируемых на 2022 год и на плановый период 2023 и 2024 годов объемах оказания муниципальных услуг (работ) учреждениями, подведомственными Комитету по физкультуре и спорту Администрации города Апатиты, а также о планируемых объемах их финансового обеспечения в сравнении с ожидаемым исполнением за 2021 год и отчетом за 2020 год</t>
  </si>
  <si>
    <t>Факт за 2020 год</t>
  </si>
  <si>
    <t>Оценка за 2021 год</t>
  </si>
  <si>
    <t>План на 2024 год</t>
  </si>
  <si>
    <t>роспись</t>
  </si>
  <si>
    <t>Земельный налог Атлет</t>
  </si>
  <si>
    <t>Земельный налог Юность</t>
  </si>
  <si>
    <t>Земельный налог Олимп</t>
  </si>
  <si>
    <t xml:space="preserve">Для проверки </t>
  </si>
  <si>
    <t>Итого по таблице :</t>
  </si>
  <si>
    <t>иная субсидия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</si>
  <si>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</si>
  <si>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тыс.ед</t>
  </si>
  <si>
    <t>1.9,1</t>
  </si>
  <si>
    <t>Формирование бюджетной отчетности главного распорядителя (распорядителя) бюджетных средств, главного администратора источников финансирования дефицита бюджета, главного администратора доходов бюджета</t>
  </si>
  <si>
    <t>Формирование финансовой (бухгалтерской) отчетности бюджетных и автономных учреждений</t>
  </si>
  <si>
    <t>Ведение бюджетного учета, формирование регистров учета главного распорядителя (распорядителя) бюджетных средств, главного администратора источников финансирования дефицита бюджета, главного администратора доходов бюджета</t>
  </si>
  <si>
    <t>Ведение бухгалтерского учета, формирование регистров бухгалтерского учета бюджетных учреждений</t>
  </si>
  <si>
    <t>Ведение бухгалтерского учета, формирование регистров бухгалтерского учета автономных учреждений</t>
  </si>
  <si>
    <t xml:space="preserve">с 2021 года -  Количество посещений спортивных объектов </t>
  </si>
  <si>
    <t>выезд с севера</t>
  </si>
  <si>
    <t>Атлет</t>
  </si>
  <si>
    <t>Юность</t>
  </si>
  <si>
    <t xml:space="preserve">Олимп </t>
  </si>
  <si>
    <t>ЦБ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</si>
</sst>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\-??\ _₽_-;_-@_-"/>
    <numFmt numFmtId="165" formatCode="_-* #,##0.00_р_._-;\-* #,##0.00_р_._-;_-* \-??_р_._-;_-@_-"/>
    <numFmt numFmtId="166" formatCode="#,##0.0"/>
    <numFmt numFmtId="167" formatCode="0.0"/>
  </numFmts>
  <fonts count="7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6" fillId="0" borderId="0" applyBorder="0" applyAlignment="0" applyProtection="0"/>
    <xf numFmtId="165" fontId="6" fillId="0" borderId="0" applyBorder="0" applyAlignment="0" applyProtection="0"/>
    <xf numFmtId="164" fontId="6" fillId="0" borderId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/>
    </xf>
    <xf numFmtId="1" fontId="4" fillId="3" borderId="2" xfId="0" applyNumberFormat="1" applyFont="1" applyFill="1" applyBorder="1" applyAlignment="1">
      <alignment vertical="top" wrapText="1"/>
    </xf>
    <xf numFmtId="166" fontId="3" fillId="4" borderId="2" xfId="0" applyNumberFormat="1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 wrapText="1"/>
    </xf>
    <xf numFmtId="166" fontId="3" fillId="4" borderId="2" xfId="0" applyNumberFormat="1" applyFont="1" applyFill="1" applyBorder="1" applyAlignment="1">
      <alignment horizontal="left" wrapText="1"/>
    </xf>
    <xf numFmtId="49" fontId="3" fillId="5" borderId="3" xfId="0" applyNumberFormat="1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vertical="center" wrapText="1"/>
    </xf>
    <xf numFmtId="166" fontId="3" fillId="5" borderId="2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166" fontId="3" fillId="0" borderId="0" xfId="0" applyNumberFormat="1" applyFont="1"/>
    <xf numFmtId="1" fontId="3" fillId="6" borderId="2" xfId="0" applyNumberFormat="1" applyFont="1" applyFill="1" applyBorder="1" applyAlignment="1">
      <alignment horizontal="center" vertical="center" wrapText="1"/>
    </xf>
    <xf numFmtId="2" fontId="3" fillId="0" borderId="0" xfId="0" applyNumberFormat="1" applyFont="1"/>
    <xf numFmtId="2" fontId="5" fillId="0" borderId="0" xfId="0" applyNumberFormat="1" applyFont="1"/>
    <xf numFmtId="167" fontId="3" fillId="6" borderId="2" xfId="0" applyNumberFormat="1" applyFont="1" applyFill="1" applyBorder="1" applyAlignment="1">
      <alignment horizontal="center" vertical="center" wrapText="1"/>
    </xf>
    <xf numFmtId="1" fontId="3" fillId="4" borderId="0" xfId="0" applyNumberFormat="1" applyFont="1" applyFill="1" applyBorder="1" applyAlignment="1">
      <alignment horizontal="center" vertical="center" wrapText="1"/>
    </xf>
    <xf numFmtId="166" fontId="3" fillId="4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4" borderId="2" xfId="0" applyNumberFormat="1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4"/>
  <sheetViews>
    <sheetView zoomScale="115" zoomScaleNormal="115" workbookViewId="0">
      <pane xSplit="2" ySplit="5" topLeftCell="C6" activePane="bottomRight" state="frozen"/>
      <selection pane="topRight" activeCell="C1" sqref="C1"/>
      <selection pane="bottomLeft" activeCell="A882" sqref="A882"/>
      <selection pane="bottomRight" activeCell="G7" sqref="G7:I16"/>
    </sheetView>
  </sheetViews>
  <sheetFormatPr defaultRowHeight="15" x14ac:dyDescent="0.25"/>
  <cols>
    <col min="1" max="1" width="9" style="1"/>
    <col min="2" max="2" width="50.7109375" style="2" customWidth="1"/>
    <col min="3" max="3" width="26.85546875" style="2" customWidth="1"/>
    <col min="4" max="4" width="11.85546875" style="2" customWidth="1"/>
    <col min="5" max="5" width="13.5703125" style="2" customWidth="1"/>
    <col min="6" max="6" width="13" style="2" customWidth="1"/>
    <col min="7" max="7" width="13.42578125" style="2" customWidth="1"/>
    <col min="8" max="8" width="13.5703125" style="2" customWidth="1"/>
    <col min="9" max="9" width="13.28515625" style="2" customWidth="1"/>
    <col min="10" max="10" width="9" style="2"/>
    <col min="11" max="257" width="9.140625" style="2" customWidth="1"/>
    <col min="258" max="1025" width="9.140625" customWidth="1"/>
  </cols>
  <sheetData>
    <row r="1" spans="1:14" ht="15.6" customHeight="1" x14ac:dyDescent="0.25">
      <c r="H1" s="23" t="s">
        <v>76</v>
      </c>
      <c r="I1" s="23"/>
    </row>
    <row r="2" spans="1:14" ht="51.75" customHeight="1" x14ac:dyDescent="0.25">
      <c r="B2" s="24" t="s">
        <v>77</v>
      </c>
      <c r="C2" s="24"/>
      <c r="D2" s="24"/>
      <c r="E2" s="24"/>
      <c r="F2" s="24"/>
      <c r="G2" s="24"/>
      <c r="H2" s="24"/>
      <c r="I2" s="24"/>
    </row>
    <row r="4" spans="1:14" ht="15" customHeight="1" x14ac:dyDescent="0.25">
      <c r="A4" s="25" t="s">
        <v>0</v>
      </c>
      <c r="B4" s="25" t="s">
        <v>13</v>
      </c>
      <c r="C4" s="25" t="s">
        <v>1</v>
      </c>
      <c r="D4" s="25" t="s">
        <v>2</v>
      </c>
      <c r="E4" s="25" t="s">
        <v>78</v>
      </c>
      <c r="F4" s="25" t="s">
        <v>79</v>
      </c>
      <c r="G4" s="25" t="s">
        <v>3</v>
      </c>
      <c r="H4" s="25" t="s">
        <v>12</v>
      </c>
      <c r="I4" s="25" t="s">
        <v>80</v>
      </c>
    </row>
    <row r="5" spans="1:14" ht="39.200000000000003" customHeight="1" x14ac:dyDescent="0.25">
      <c r="A5" s="25"/>
      <c r="B5" s="25"/>
      <c r="C5" s="25"/>
      <c r="D5" s="25"/>
      <c r="E5" s="25"/>
      <c r="F5" s="25"/>
      <c r="G5" s="25"/>
      <c r="H5" s="25"/>
      <c r="I5" s="25"/>
    </row>
    <row r="6" spans="1:14" ht="27" customHeight="1" x14ac:dyDescent="0.25">
      <c r="A6" s="4">
        <v>1</v>
      </c>
      <c r="B6" s="3" t="s">
        <v>14</v>
      </c>
      <c r="C6" s="4"/>
      <c r="D6" s="4"/>
      <c r="E6" s="4"/>
      <c r="F6" s="4"/>
      <c r="G6" s="4"/>
      <c r="H6" s="5"/>
      <c r="I6" s="6"/>
    </row>
    <row r="7" spans="1:14" ht="43.5" customHeight="1" x14ac:dyDescent="0.25">
      <c r="A7" s="27" t="s">
        <v>4</v>
      </c>
      <c r="B7" s="26" t="s">
        <v>16</v>
      </c>
      <c r="C7" s="9" t="s">
        <v>5</v>
      </c>
      <c r="D7" s="7" t="s">
        <v>17</v>
      </c>
      <c r="E7" s="8">
        <v>40</v>
      </c>
      <c r="F7" s="8">
        <v>58</v>
      </c>
      <c r="G7" s="8">
        <v>75</v>
      </c>
      <c r="H7" s="8">
        <v>75</v>
      </c>
      <c r="I7" s="8">
        <v>75</v>
      </c>
      <c r="L7" s="21"/>
      <c r="M7" s="21"/>
      <c r="N7" s="21"/>
    </row>
    <row r="8" spans="1:14" ht="27" customHeight="1" x14ac:dyDescent="0.25">
      <c r="A8" s="27"/>
      <c r="B8" s="26"/>
      <c r="C8" s="9" t="s">
        <v>6</v>
      </c>
      <c r="D8" s="7" t="s">
        <v>7</v>
      </c>
      <c r="E8" s="7">
        <v>637.79999999999995</v>
      </c>
      <c r="F8" s="7">
        <v>713.9</v>
      </c>
      <c r="G8" s="7">
        <v>913.9</v>
      </c>
      <c r="H8" s="7">
        <v>913.9</v>
      </c>
      <c r="I8" s="7">
        <v>913.9</v>
      </c>
      <c r="K8" s="16"/>
      <c r="L8" s="22"/>
      <c r="M8" s="22"/>
      <c r="N8" s="22"/>
    </row>
    <row r="9" spans="1:14" ht="27" customHeight="1" x14ac:dyDescent="0.25">
      <c r="A9" s="27" t="s">
        <v>8</v>
      </c>
      <c r="B9" s="26" t="s">
        <v>42</v>
      </c>
      <c r="C9" s="9" t="s">
        <v>5</v>
      </c>
      <c r="D9" s="7" t="s">
        <v>17</v>
      </c>
      <c r="E9" s="8">
        <v>8</v>
      </c>
      <c r="F9" s="8">
        <v>11</v>
      </c>
      <c r="G9" s="8">
        <v>17</v>
      </c>
      <c r="H9" s="8">
        <v>17</v>
      </c>
      <c r="I9" s="8">
        <v>17</v>
      </c>
      <c r="L9" s="21"/>
      <c r="M9" s="21"/>
      <c r="N9" s="21"/>
    </row>
    <row r="10" spans="1:14" ht="27" customHeight="1" x14ac:dyDescent="0.25">
      <c r="A10" s="27"/>
      <c r="B10" s="26"/>
      <c r="C10" s="9" t="s">
        <v>6</v>
      </c>
      <c r="D10" s="7" t="s">
        <v>7</v>
      </c>
      <c r="E10" s="7">
        <v>50.7</v>
      </c>
      <c r="F10" s="7">
        <v>214.2</v>
      </c>
      <c r="G10" s="7">
        <v>214.2</v>
      </c>
      <c r="H10" s="7">
        <v>214.2</v>
      </c>
      <c r="I10" s="7">
        <v>214.2</v>
      </c>
      <c r="L10" s="22"/>
      <c r="M10" s="22"/>
      <c r="N10" s="22"/>
    </row>
    <row r="11" spans="1:14" ht="27" customHeight="1" x14ac:dyDescent="0.25">
      <c r="A11" s="27" t="s">
        <v>9</v>
      </c>
      <c r="B11" s="26" t="s">
        <v>43</v>
      </c>
      <c r="C11" s="9" t="s">
        <v>5</v>
      </c>
      <c r="D11" s="7" t="s">
        <v>17</v>
      </c>
      <c r="E11" s="8">
        <v>11</v>
      </c>
      <c r="F11" s="8">
        <v>39</v>
      </c>
      <c r="G11" s="8">
        <v>55</v>
      </c>
      <c r="H11" s="8">
        <v>55</v>
      </c>
      <c r="I11" s="8">
        <v>55</v>
      </c>
      <c r="L11" s="21"/>
      <c r="M11" s="21"/>
      <c r="N11" s="21"/>
    </row>
    <row r="12" spans="1:14" ht="27" customHeight="1" x14ac:dyDescent="0.25">
      <c r="A12" s="27"/>
      <c r="B12" s="26"/>
      <c r="C12" s="9" t="s">
        <v>6</v>
      </c>
      <c r="D12" s="7" t="s">
        <v>7</v>
      </c>
      <c r="E12" s="7">
        <v>194.7</v>
      </c>
      <c r="F12" s="7">
        <f>563.8+0.04321</f>
        <v>563.84321</v>
      </c>
      <c r="G12" s="7">
        <v>789.2</v>
      </c>
      <c r="H12" s="7">
        <v>789.2</v>
      </c>
      <c r="I12" s="7">
        <v>789.2</v>
      </c>
      <c r="L12" s="22"/>
      <c r="M12" s="22"/>
      <c r="N12" s="22"/>
    </row>
    <row r="13" spans="1:14" ht="27" customHeight="1" x14ac:dyDescent="0.25">
      <c r="A13" s="27" t="s">
        <v>18</v>
      </c>
      <c r="B13" s="26" t="s">
        <v>44</v>
      </c>
      <c r="C13" s="9" t="s">
        <v>5</v>
      </c>
      <c r="D13" s="7" t="s">
        <v>17</v>
      </c>
      <c r="E13" s="8">
        <v>12</v>
      </c>
      <c r="F13" s="8">
        <v>26</v>
      </c>
      <c r="G13" s="8">
        <v>27</v>
      </c>
      <c r="H13" s="8">
        <v>27</v>
      </c>
      <c r="I13" s="8">
        <v>27</v>
      </c>
      <c r="L13" s="21"/>
      <c r="M13" s="21"/>
      <c r="N13" s="21"/>
    </row>
    <row r="14" spans="1:14" ht="27" customHeight="1" x14ac:dyDescent="0.25">
      <c r="A14" s="27"/>
      <c r="B14" s="26"/>
      <c r="C14" s="9" t="s">
        <v>6</v>
      </c>
      <c r="D14" s="7" t="s">
        <v>7</v>
      </c>
      <c r="E14" s="7">
        <v>311.8</v>
      </c>
      <c r="F14" s="7">
        <v>830</v>
      </c>
      <c r="G14" s="7">
        <v>830</v>
      </c>
      <c r="H14" s="7">
        <v>830</v>
      </c>
      <c r="I14" s="7">
        <v>830</v>
      </c>
      <c r="J14" s="16"/>
      <c r="K14" s="16"/>
      <c r="L14" s="22"/>
      <c r="M14" s="22"/>
      <c r="N14" s="22"/>
    </row>
    <row r="15" spans="1:14" ht="27" customHeight="1" x14ac:dyDescent="0.25">
      <c r="A15" s="27" t="s">
        <v>19</v>
      </c>
      <c r="B15" s="26" t="s">
        <v>45</v>
      </c>
      <c r="C15" s="9" t="s">
        <v>5</v>
      </c>
      <c r="D15" s="7" t="s">
        <v>17</v>
      </c>
      <c r="E15" s="8">
        <v>3</v>
      </c>
      <c r="F15" s="8">
        <v>8</v>
      </c>
      <c r="G15" s="8">
        <v>7</v>
      </c>
      <c r="H15" s="8">
        <v>7</v>
      </c>
      <c r="I15" s="8">
        <v>7</v>
      </c>
      <c r="K15" s="16"/>
      <c r="L15" s="21"/>
      <c r="M15" s="21"/>
      <c r="N15" s="21"/>
    </row>
    <row r="16" spans="1:14" ht="42" customHeight="1" x14ac:dyDescent="0.25">
      <c r="A16" s="27"/>
      <c r="B16" s="26"/>
      <c r="C16" s="9" t="s">
        <v>6</v>
      </c>
      <c r="D16" s="7" t="s">
        <v>7</v>
      </c>
      <c r="E16" s="7">
        <v>73.3</v>
      </c>
      <c r="F16" s="7">
        <v>52.7</v>
      </c>
      <c r="G16" s="7">
        <v>52.7</v>
      </c>
      <c r="H16" s="7">
        <v>52.7</v>
      </c>
      <c r="I16" s="7">
        <v>52.7</v>
      </c>
      <c r="K16" s="16"/>
      <c r="L16" s="22"/>
      <c r="M16" s="22"/>
      <c r="N16" s="22"/>
    </row>
    <row r="17" spans="1:14" ht="27" customHeight="1" x14ac:dyDescent="0.25">
      <c r="A17" s="27" t="s">
        <v>20</v>
      </c>
      <c r="B17" s="26" t="s">
        <v>47</v>
      </c>
      <c r="C17" s="9" t="s">
        <v>5</v>
      </c>
      <c r="D17" s="7" t="s">
        <v>46</v>
      </c>
      <c r="E17" s="8">
        <v>3</v>
      </c>
      <c r="F17" s="8">
        <v>5</v>
      </c>
      <c r="G17" s="8">
        <v>4</v>
      </c>
      <c r="H17" s="8">
        <v>4</v>
      </c>
      <c r="I17" s="8">
        <v>4</v>
      </c>
      <c r="L17" s="21"/>
      <c r="M17" s="21"/>
      <c r="N17" s="21"/>
    </row>
    <row r="18" spans="1:14" ht="27" customHeight="1" x14ac:dyDescent="0.25">
      <c r="A18" s="27"/>
      <c r="B18" s="26"/>
      <c r="C18" s="9" t="s">
        <v>6</v>
      </c>
      <c r="D18" s="7" t="s">
        <v>7</v>
      </c>
      <c r="E18" s="7">
        <v>1097.5999999999999</v>
      </c>
      <c r="F18" s="7">
        <v>450</v>
      </c>
      <c r="G18" s="7">
        <f>362500*G17/1000</f>
        <v>1450</v>
      </c>
      <c r="H18" s="7">
        <f>362500*H17/1000</f>
        <v>1450</v>
      </c>
      <c r="I18" s="7">
        <f>362500*I17/1000</f>
        <v>1450</v>
      </c>
      <c r="J18" s="18">
        <f>E8+E10+E12+E14+E16+E18</f>
        <v>2365.8999999999996</v>
      </c>
      <c r="K18" s="18">
        <f t="shared" ref="K18:N18" si="0">F8+F10+F12+F14+F16+F18</f>
        <v>2824.6432099999997</v>
      </c>
      <c r="L18" s="18">
        <f t="shared" si="0"/>
        <v>4250</v>
      </c>
      <c r="M18" s="18">
        <f t="shared" si="0"/>
        <v>4250</v>
      </c>
      <c r="N18" s="18">
        <f t="shared" si="0"/>
        <v>4250</v>
      </c>
    </row>
    <row r="19" spans="1:14" ht="27" customHeight="1" x14ac:dyDescent="0.25">
      <c r="A19" s="27" t="s">
        <v>21</v>
      </c>
      <c r="B19" s="26" t="s">
        <v>48</v>
      </c>
      <c r="C19" s="9" t="s">
        <v>5</v>
      </c>
      <c r="D19" s="7" t="s">
        <v>46</v>
      </c>
      <c r="E19" s="17">
        <v>150</v>
      </c>
      <c r="F19" s="17">
        <v>100</v>
      </c>
      <c r="G19" s="17">
        <v>100</v>
      </c>
      <c r="H19" s="17">
        <v>100</v>
      </c>
      <c r="I19" s="17">
        <v>100</v>
      </c>
    </row>
    <row r="20" spans="1:14" ht="27" customHeight="1" x14ac:dyDescent="0.25">
      <c r="A20" s="27"/>
      <c r="B20" s="26"/>
      <c r="C20" s="9" t="s">
        <v>6</v>
      </c>
      <c r="D20" s="7" t="s">
        <v>7</v>
      </c>
      <c r="E20" s="7">
        <v>1825.1</v>
      </c>
      <c r="F20" s="7">
        <v>2046.6</v>
      </c>
      <c r="G20" s="7">
        <v>2125.8220000000001</v>
      </c>
      <c r="H20" s="7">
        <v>2177.663</v>
      </c>
      <c r="I20" s="7">
        <v>2222.6590000000001</v>
      </c>
    </row>
    <row r="21" spans="1:14" ht="27" customHeight="1" x14ac:dyDescent="0.25">
      <c r="A21" s="27" t="s">
        <v>22</v>
      </c>
      <c r="B21" s="26" t="s">
        <v>50</v>
      </c>
      <c r="C21" s="9" t="s">
        <v>5</v>
      </c>
      <c r="D21" s="7" t="s">
        <v>49</v>
      </c>
      <c r="E21" s="8">
        <v>3</v>
      </c>
      <c r="F21" s="8">
        <v>4</v>
      </c>
      <c r="G21" s="8">
        <v>4</v>
      </c>
      <c r="H21" s="8">
        <v>4</v>
      </c>
      <c r="I21" s="8">
        <v>4</v>
      </c>
    </row>
    <row r="22" spans="1:14" ht="27" customHeight="1" x14ac:dyDescent="0.25">
      <c r="A22" s="27"/>
      <c r="B22" s="26"/>
      <c r="C22" s="9" t="s">
        <v>6</v>
      </c>
      <c r="D22" s="7" t="s">
        <v>7</v>
      </c>
      <c r="E22" s="7">
        <v>7641.2</v>
      </c>
      <c r="F22" s="7">
        <v>10105.5</v>
      </c>
      <c r="G22" s="7">
        <v>10496.61</v>
      </c>
      <c r="H22" s="7">
        <v>10752.582</v>
      </c>
      <c r="I22" s="7">
        <v>10974.754999999999</v>
      </c>
    </row>
    <row r="23" spans="1:14" ht="54.75" customHeight="1" x14ac:dyDescent="0.25">
      <c r="A23" s="27" t="s">
        <v>23</v>
      </c>
      <c r="B23" s="26" t="s">
        <v>88</v>
      </c>
      <c r="C23" s="9" t="s">
        <v>5</v>
      </c>
      <c r="D23" s="7" t="s">
        <v>75</v>
      </c>
      <c r="E23" s="20">
        <v>8691</v>
      </c>
      <c r="F23" s="17"/>
      <c r="G23" s="17"/>
      <c r="H23" s="17"/>
      <c r="I23" s="17"/>
    </row>
    <row r="24" spans="1:14" ht="27" customHeight="1" x14ac:dyDescent="0.25">
      <c r="A24" s="27"/>
      <c r="B24" s="26"/>
      <c r="C24" s="9" t="s">
        <v>6</v>
      </c>
      <c r="D24" s="7" t="s">
        <v>7</v>
      </c>
      <c r="E24" s="7">
        <v>21704.7</v>
      </c>
      <c r="F24" s="7"/>
      <c r="G24" s="7"/>
      <c r="H24" s="7"/>
      <c r="I24" s="7"/>
      <c r="J24" s="16"/>
      <c r="K24" s="16"/>
      <c r="L24" s="16"/>
      <c r="M24" s="16"/>
      <c r="N24" s="16"/>
    </row>
    <row r="25" spans="1:14" ht="27" customHeight="1" x14ac:dyDescent="0.25">
      <c r="A25" s="27" t="s">
        <v>90</v>
      </c>
      <c r="B25" s="26" t="s">
        <v>96</v>
      </c>
      <c r="C25" s="9" t="s">
        <v>5</v>
      </c>
      <c r="D25" s="7" t="s">
        <v>89</v>
      </c>
      <c r="E25" s="20"/>
      <c r="F25" s="17">
        <v>200</v>
      </c>
      <c r="G25" s="17">
        <v>210</v>
      </c>
      <c r="H25" s="17">
        <v>220</v>
      </c>
      <c r="I25" s="17">
        <v>220</v>
      </c>
      <c r="J25" s="16"/>
      <c r="K25" s="16"/>
      <c r="L25" s="16"/>
      <c r="M25" s="16"/>
      <c r="N25" s="16"/>
    </row>
    <row r="26" spans="1:14" ht="27" customHeight="1" x14ac:dyDescent="0.25">
      <c r="A26" s="27"/>
      <c r="B26" s="26"/>
      <c r="C26" s="9" t="s">
        <v>6</v>
      </c>
      <c r="D26" s="7" t="s">
        <v>7</v>
      </c>
      <c r="E26" s="7"/>
      <c r="F26" s="7">
        <f>37216.8-0.037</f>
        <v>37216.763000000006</v>
      </c>
      <c r="G26" s="7">
        <f>38657.198-0.003</f>
        <v>38657.195</v>
      </c>
      <c r="H26" s="7">
        <v>39599.904999999999</v>
      </c>
      <c r="I26" s="7">
        <v>40418.131000000001</v>
      </c>
      <c r="J26" s="16"/>
      <c r="K26" s="16"/>
      <c r="L26" s="16"/>
      <c r="M26" s="16"/>
      <c r="N26" s="16"/>
    </row>
    <row r="27" spans="1:14" ht="43.5" customHeight="1" x14ac:dyDescent="0.25">
      <c r="A27" s="27" t="s">
        <v>24</v>
      </c>
      <c r="B27" s="26" t="s">
        <v>91</v>
      </c>
      <c r="C27" s="9" t="s">
        <v>5</v>
      </c>
      <c r="D27" s="7" t="s">
        <v>52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K27" s="16"/>
    </row>
    <row r="28" spans="1:14" ht="51" customHeight="1" x14ac:dyDescent="0.25">
      <c r="A28" s="27"/>
      <c r="B28" s="26"/>
      <c r="C28" s="9" t="s">
        <v>6</v>
      </c>
      <c r="D28" s="7" t="s">
        <v>7</v>
      </c>
      <c r="E28" s="7">
        <v>343.9</v>
      </c>
      <c r="F28" s="7">
        <v>353.91199999999998</v>
      </c>
      <c r="G28" s="7">
        <v>405.53500000000003</v>
      </c>
      <c r="H28" s="7">
        <v>419.00200000000001</v>
      </c>
      <c r="I28" s="7">
        <v>432.77100000000002</v>
      </c>
      <c r="K28" s="16"/>
    </row>
    <row r="29" spans="1:14" ht="27" customHeight="1" x14ac:dyDescent="0.25">
      <c r="A29" s="27" t="s">
        <v>25</v>
      </c>
      <c r="B29" s="26" t="s">
        <v>92</v>
      </c>
      <c r="C29" s="9" t="s">
        <v>5</v>
      </c>
      <c r="D29" s="7" t="s">
        <v>52</v>
      </c>
      <c r="E29" s="8">
        <v>4</v>
      </c>
      <c r="F29" s="8">
        <v>4</v>
      </c>
      <c r="G29" s="8">
        <v>4</v>
      </c>
      <c r="H29" s="8">
        <v>4</v>
      </c>
      <c r="I29" s="8">
        <v>4</v>
      </c>
    </row>
    <row r="30" spans="1:14" ht="42" customHeight="1" x14ac:dyDescent="0.25">
      <c r="A30" s="27"/>
      <c r="B30" s="26"/>
      <c r="C30" s="9" t="s">
        <v>6</v>
      </c>
      <c r="D30" s="7" t="s">
        <v>7</v>
      </c>
      <c r="E30" s="7">
        <v>1518.7</v>
      </c>
      <c r="F30" s="7">
        <v>1562.136</v>
      </c>
      <c r="G30" s="7">
        <f>443.948*G29</f>
        <v>1775.7919999999999</v>
      </c>
      <c r="H30" s="7">
        <f>458.67*H29</f>
        <v>1834.68</v>
      </c>
      <c r="I30" s="7">
        <f>473.747*I29</f>
        <v>1894.9880000000001</v>
      </c>
    </row>
    <row r="31" spans="1:14" ht="34.5" customHeight="1" x14ac:dyDescent="0.25">
      <c r="A31" s="27" t="s">
        <v>26</v>
      </c>
      <c r="B31" s="26" t="s">
        <v>93</v>
      </c>
      <c r="C31" s="9" t="s">
        <v>5</v>
      </c>
      <c r="D31" s="7" t="s">
        <v>52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</row>
    <row r="32" spans="1:14" ht="60.75" customHeight="1" x14ac:dyDescent="0.25">
      <c r="A32" s="27"/>
      <c r="B32" s="26"/>
      <c r="C32" s="9" t="s">
        <v>6</v>
      </c>
      <c r="D32" s="7" t="s">
        <v>7</v>
      </c>
      <c r="E32" s="7">
        <v>703</v>
      </c>
      <c r="F32" s="7">
        <v>719.875</v>
      </c>
      <c r="G32" s="7">
        <v>793.62300000000005</v>
      </c>
      <c r="H32" s="7">
        <v>822.62699999999995</v>
      </c>
      <c r="I32" s="7">
        <v>852.54300000000001</v>
      </c>
    </row>
    <row r="33" spans="1:14" ht="44.45" customHeight="1" x14ac:dyDescent="0.25">
      <c r="A33" s="27" t="s">
        <v>27</v>
      </c>
      <c r="B33" s="26" t="s">
        <v>94</v>
      </c>
      <c r="C33" s="9" t="s">
        <v>5</v>
      </c>
      <c r="D33" s="7" t="s">
        <v>52</v>
      </c>
      <c r="E33" s="8">
        <v>1</v>
      </c>
      <c r="F33" s="8">
        <v>1</v>
      </c>
      <c r="G33" s="8">
        <v>1</v>
      </c>
      <c r="H33" s="8">
        <v>1</v>
      </c>
      <c r="I33" s="8">
        <v>1</v>
      </c>
    </row>
    <row r="34" spans="1:14" ht="27" customHeight="1" x14ac:dyDescent="0.25">
      <c r="A34" s="27"/>
      <c r="B34" s="26"/>
      <c r="C34" s="9" t="s">
        <v>6</v>
      </c>
      <c r="D34" s="7" t="s">
        <v>7</v>
      </c>
      <c r="E34" s="7">
        <v>718.9</v>
      </c>
      <c r="F34" s="7">
        <f>739.841</f>
        <v>739.84100000000001</v>
      </c>
      <c r="G34" s="7">
        <v>813.58900000000006</v>
      </c>
      <c r="H34" s="7">
        <f>842.593+0.008</f>
        <v>842.601</v>
      </c>
      <c r="I34" s="7">
        <f>872.509+0.001</f>
        <v>872.51</v>
      </c>
    </row>
    <row r="35" spans="1:14" ht="27" customHeight="1" x14ac:dyDescent="0.25">
      <c r="A35" s="27" t="s">
        <v>28</v>
      </c>
      <c r="B35" s="26" t="s">
        <v>95</v>
      </c>
      <c r="C35" s="9" t="s">
        <v>5</v>
      </c>
      <c r="D35" s="7" t="s">
        <v>52</v>
      </c>
      <c r="E35" s="8">
        <v>3</v>
      </c>
      <c r="F35" s="8">
        <v>3</v>
      </c>
      <c r="G35" s="8">
        <v>3</v>
      </c>
      <c r="H35" s="8">
        <v>3</v>
      </c>
      <c r="I35" s="8">
        <v>3</v>
      </c>
    </row>
    <row r="36" spans="1:14" ht="27" customHeight="1" x14ac:dyDescent="0.25">
      <c r="A36" s="27"/>
      <c r="B36" s="26"/>
      <c r="C36" s="9" t="s">
        <v>6</v>
      </c>
      <c r="D36" s="7" t="s">
        <v>7</v>
      </c>
      <c r="E36" s="7">
        <v>2484.5</v>
      </c>
      <c r="F36" s="7">
        <f>2572.944</f>
        <v>2572.944</v>
      </c>
      <c r="G36" s="7">
        <f>938.557*G35</f>
        <v>2815.6710000000003</v>
      </c>
      <c r="H36" s="7">
        <f>972.588*H35</f>
        <v>2917.7640000000001</v>
      </c>
      <c r="I36" s="7">
        <f>1007.727*I35</f>
        <v>3023.181</v>
      </c>
      <c r="J36" s="16"/>
      <c r="K36" s="16"/>
      <c r="L36" s="16"/>
      <c r="M36" s="16"/>
      <c r="N36" s="16"/>
    </row>
    <row r="37" spans="1:14" ht="27" customHeight="1" x14ac:dyDescent="0.25">
      <c r="A37" s="27" t="s">
        <v>29</v>
      </c>
      <c r="B37" s="26" t="s">
        <v>54</v>
      </c>
      <c r="C37" s="9" t="s">
        <v>5</v>
      </c>
      <c r="D37" s="7" t="s">
        <v>53</v>
      </c>
      <c r="E37" s="8">
        <v>233</v>
      </c>
      <c r="F37" s="8">
        <v>218</v>
      </c>
      <c r="G37" s="8">
        <v>176</v>
      </c>
      <c r="H37" s="8">
        <v>176</v>
      </c>
      <c r="I37" s="8">
        <v>176</v>
      </c>
    </row>
    <row r="38" spans="1:14" ht="27" customHeight="1" x14ac:dyDescent="0.25">
      <c r="A38" s="27"/>
      <c r="B38" s="26"/>
      <c r="C38" s="9" t="s">
        <v>6</v>
      </c>
      <c r="D38" s="7" t="s">
        <v>7</v>
      </c>
      <c r="E38" s="7">
        <f>5937.9</f>
        <v>5937.9</v>
      </c>
      <c r="F38" s="7">
        <f>7682.9+0.06253</f>
        <v>7682.9625299999998</v>
      </c>
      <c r="G38" s="7">
        <f>53.40368*G37-0.76494</f>
        <v>9398.2827400000006</v>
      </c>
      <c r="H38" s="7">
        <f>54.43968*H37-0.48294</f>
        <v>9580.900740000001</v>
      </c>
      <c r="I38" s="7">
        <f>55.67668*I37-0.47994</f>
        <v>9798.6157400000011</v>
      </c>
    </row>
    <row r="39" spans="1:14" ht="27" customHeight="1" x14ac:dyDescent="0.25">
      <c r="A39" s="27" t="s">
        <v>30</v>
      </c>
      <c r="B39" s="26" t="s">
        <v>55</v>
      </c>
      <c r="C39" s="9" t="s">
        <v>5</v>
      </c>
      <c r="D39" s="7" t="s">
        <v>53</v>
      </c>
      <c r="E39" s="8">
        <v>135</v>
      </c>
      <c r="F39" s="8">
        <v>149</v>
      </c>
      <c r="G39" s="8">
        <v>194</v>
      </c>
      <c r="H39" s="8">
        <v>194</v>
      </c>
      <c r="I39" s="8">
        <v>194</v>
      </c>
    </row>
    <row r="40" spans="1:14" ht="27" customHeight="1" x14ac:dyDescent="0.25">
      <c r="A40" s="27"/>
      <c r="B40" s="26"/>
      <c r="C40" s="9" t="s">
        <v>6</v>
      </c>
      <c r="D40" s="7" t="s">
        <v>7</v>
      </c>
      <c r="E40" s="7">
        <v>6534.4</v>
      </c>
      <c r="F40" s="7">
        <v>14411.2</v>
      </c>
      <c r="G40" s="7">
        <f>93.75364*G39</f>
        <v>18188.206160000002</v>
      </c>
      <c r="H40" s="7">
        <f>95.92964*H39</f>
        <v>18610.350160000002</v>
      </c>
      <c r="I40" s="7">
        <f>98.35364*I39</f>
        <v>19080.606159999999</v>
      </c>
    </row>
    <row r="41" spans="1:14" ht="27" customHeight="1" x14ac:dyDescent="0.25">
      <c r="A41" s="27" t="s">
        <v>31</v>
      </c>
      <c r="B41" s="26" t="s">
        <v>56</v>
      </c>
      <c r="C41" s="9" t="s">
        <v>5</v>
      </c>
      <c r="D41" s="7" t="s">
        <v>53</v>
      </c>
      <c r="E41" s="8">
        <v>37</v>
      </c>
      <c r="F41" s="8">
        <v>24</v>
      </c>
      <c r="G41" s="8">
        <v>33</v>
      </c>
      <c r="H41" s="8">
        <v>33</v>
      </c>
      <c r="I41" s="8">
        <v>33</v>
      </c>
    </row>
    <row r="42" spans="1:14" ht="27" customHeight="1" x14ac:dyDescent="0.25">
      <c r="A42" s="27"/>
      <c r="B42" s="26"/>
      <c r="C42" s="9" t="s">
        <v>6</v>
      </c>
      <c r="D42" s="7" t="s">
        <v>7</v>
      </c>
      <c r="E42" s="7">
        <v>4577.2</v>
      </c>
      <c r="F42" s="7">
        <v>866.9</v>
      </c>
      <c r="G42" s="7">
        <f>45.98104*G41</f>
        <v>1517.3743199999999</v>
      </c>
      <c r="H42" s="7">
        <f>46.91804*H41</f>
        <v>1548.2953199999999</v>
      </c>
      <c r="I42" s="7">
        <f>48.05204*I41</f>
        <v>1585.71732</v>
      </c>
    </row>
    <row r="43" spans="1:14" ht="27" customHeight="1" x14ac:dyDescent="0.25">
      <c r="A43" s="27" t="s">
        <v>32</v>
      </c>
      <c r="B43" s="26" t="s">
        <v>57</v>
      </c>
      <c r="C43" s="9" t="s">
        <v>5</v>
      </c>
      <c r="D43" s="7" t="s">
        <v>53</v>
      </c>
      <c r="E43" s="8">
        <v>38</v>
      </c>
      <c r="F43" s="8">
        <v>44</v>
      </c>
      <c r="G43" s="8">
        <v>36</v>
      </c>
      <c r="H43" s="8">
        <v>36</v>
      </c>
      <c r="I43" s="8">
        <v>36</v>
      </c>
    </row>
    <row r="44" spans="1:14" ht="27" customHeight="1" x14ac:dyDescent="0.25">
      <c r="A44" s="27"/>
      <c r="B44" s="26"/>
      <c r="C44" s="9" t="s">
        <v>6</v>
      </c>
      <c r="D44" s="7" t="s">
        <v>7</v>
      </c>
      <c r="E44" s="7">
        <v>13968.6</v>
      </c>
      <c r="F44" s="7">
        <v>3308.6</v>
      </c>
      <c r="G44" s="7">
        <f>92.80149*G43</f>
        <v>3340.8536400000003</v>
      </c>
      <c r="H44" s="7">
        <f>94.75549*H43</f>
        <v>3411.1976399999999</v>
      </c>
      <c r="I44" s="7">
        <f>96.94949*I43</f>
        <v>3490.1816399999998</v>
      </c>
    </row>
    <row r="45" spans="1:14" ht="27" customHeight="1" x14ac:dyDescent="0.25">
      <c r="A45" s="27" t="s">
        <v>33</v>
      </c>
      <c r="B45" s="26" t="s">
        <v>58</v>
      </c>
      <c r="C45" s="9" t="s">
        <v>5</v>
      </c>
      <c r="D45" s="7" t="s">
        <v>53</v>
      </c>
      <c r="E45" s="8">
        <v>36</v>
      </c>
      <c r="F45" s="8">
        <v>16</v>
      </c>
      <c r="G45" s="8">
        <v>34</v>
      </c>
      <c r="H45" s="8">
        <v>34</v>
      </c>
      <c r="I45" s="8">
        <v>34</v>
      </c>
    </row>
    <row r="46" spans="1:14" ht="27" customHeight="1" x14ac:dyDescent="0.25">
      <c r="A46" s="27"/>
      <c r="B46" s="26"/>
      <c r="C46" s="9" t="s">
        <v>6</v>
      </c>
      <c r="D46" s="7" t="s">
        <v>7</v>
      </c>
      <c r="E46" s="7">
        <v>6223.4</v>
      </c>
      <c r="F46" s="7">
        <v>1313.8</v>
      </c>
      <c r="G46" s="7">
        <f>59.75349*G45</f>
        <v>2031.6186600000001</v>
      </c>
      <c r="H46" s="7">
        <f>61.24149*H45</f>
        <v>2082.2106599999997</v>
      </c>
      <c r="I46" s="7">
        <f>62.94549*I45</f>
        <v>2140.1466599999999</v>
      </c>
    </row>
    <row r="47" spans="1:14" ht="27" customHeight="1" x14ac:dyDescent="0.25">
      <c r="A47" s="27" t="s">
        <v>34</v>
      </c>
      <c r="B47" s="26" t="s">
        <v>59</v>
      </c>
      <c r="C47" s="9" t="s">
        <v>5</v>
      </c>
      <c r="D47" s="7" t="s">
        <v>53</v>
      </c>
      <c r="E47" s="8">
        <v>15</v>
      </c>
      <c r="F47" s="8">
        <v>32</v>
      </c>
      <c r="G47" s="8">
        <v>29</v>
      </c>
      <c r="H47" s="8">
        <v>29</v>
      </c>
      <c r="I47" s="8">
        <v>29</v>
      </c>
    </row>
    <row r="48" spans="1:14" ht="27" customHeight="1" x14ac:dyDescent="0.25">
      <c r="A48" s="27"/>
      <c r="B48" s="26"/>
      <c r="C48" s="9" t="s">
        <v>6</v>
      </c>
      <c r="D48" s="7" t="s">
        <v>7</v>
      </c>
      <c r="E48" s="7">
        <v>7468.3</v>
      </c>
      <c r="F48" s="7">
        <v>4376.3999999999996</v>
      </c>
      <c r="G48" s="7">
        <f>153.39502*G47</f>
        <v>4448.4555799999998</v>
      </c>
      <c r="H48" s="7">
        <f>157.36402*H47</f>
        <v>4563.5565800000004</v>
      </c>
      <c r="I48" s="7">
        <f>161.65402*I47</f>
        <v>4687.9665800000002</v>
      </c>
    </row>
    <row r="49" spans="1:15" ht="27" customHeight="1" x14ac:dyDescent="0.25">
      <c r="A49" s="27" t="s">
        <v>35</v>
      </c>
      <c r="B49" s="26" t="s">
        <v>60</v>
      </c>
      <c r="C49" s="9" t="s">
        <v>5</v>
      </c>
      <c r="D49" s="7" t="s">
        <v>53</v>
      </c>
      <c r="E49" s="8">
        <v>76</v>
      </c>
      <c r="F49" s="8">
        <v>78</v>
      </c>
      <c r="G49" s="8">
        <v>85</v>
      </c>
      <c r="H49" s="8">
        <v>85</v>
      </c>
      <c r="I49" s="8">
        <v>85</v>
      </c>
    </row>
    <row r="50" spans="1:15" ht="27" customHeight="1" x14ac:dyDescent="0.25">
      <c r="A50" s="27"/>
      <c r="B50" s="26"/>
      <c r="C50" s="9" t="s">
        <v>6</v>
      </c>
      <c r="D50" s="7" t="s">
        <v>7</v>
      </c>
      <c r="E50" s="7">
        <v>2003.3</v>
      </c>
      <c r="F50" s="7">
        <v>4208.7</v>
      </c>
      <c r="G50" s="7">
        <f>54.54514*G49</f>
        <v>4636.3369000000002</v>
      </c>
      <c r="H50" s="7">
        <f>55.89114*H49</f>
        <v>4750.7469000000001</v>
      </c>
      <c r="I50" s="7">
        <f>57.45214*I49</f>
        <v>4883.4318999999996</v>
      </c>
    </row>
    <row r="51" spans="1:15" ht="27" customHeight="1" x14ac:dyDescent="0.25">
      <c r="A51" s="27" t="s">
        <v>36</v>
      </c>
      <c r="B51" s="26" t="s">
        <v>61</v>
      </c>
      <c r="C51" s="9" t="s">
        <v>5</v>
      </c>
      <c r="D51" s="7" t="s">
        <v>53</v>
      </c>
      <c r="E51" s="8">
        <v>69</v>
      </c>
      <c r="F51" s="8">
        <v>66</v>
      </c>
      <c r="G51" s="8">
        <v>65</v>
      </c>
      <c r="H51" s="8">
        <v>65</v>
      </c>
      <c r="I51" s="8">
        <v>65</v>
      </c>
    </row>
    <row r="52" spans="1:15" ht="27" customHeight="1" x14ac:dyDescent="0.25">
      <c r="A52" s="27"/>
      <c r="B52" s="26"/>
      <c r="C52" s="9" t="s">
        <v>6</v>
      </c>
      <c r="D52" s="7" t="s">
        <v>7</v>
      </c>
      <c r="E52" s="7">
        <v>5029.3</v>
      </c>
      <c r="F52" s="7">
        <v>7967.5</v>
      </c>
      <c r="G52" s="7">
        <f>134.88938*G51</f>
        <v>8767.8096999999998</v>
      </c>
      <c r="H52" s="7">
        <f>138.29038*H51</f>
        <v>8988.8747000000003</v>
      </c>
      <c r="I52" s="7">
        <f>141.99038*I51</f>
        <v>9229.3746999999985</v>
      </c>
    </row>
    <row r="53" spans="1:15" ht="27" customHeight="1" x14ac:dyDescent="0.25">
      <c r="A53" s="27" t="s">
        <v>37</v>
      </c>
      <c r="B53" s="26" t="s">
        <v>62</v>
      </c>
      <c r="C53" s="9" t="s">
        <v>5</v>
      </c>
      <c r="D53" s="7" t="s">
        <v>53</v>
      </c>
      <c r="E53" s="8">
        <v>117</v>
      </c>
      <c r="F53" s="8">
        <v>117</v>
      </c>
      <c r="G53" s="8">
        <v>125</v>
      </c>
      <c r="H53" s="8">
        <v>125</v>
      </c>
      <c r="I53" s="8">
        <v>125</v>
      </c>
    </row>
    <row r="54" spans="1:15" ht="27" customHeight="1" x14ac:dyDescent="0.25">
      <c r="A54" s="27"/>
      <c r="B54" s="26"/>
      <c r="C54" s="9" t="s">
        <v>6</v>
      </c>
      <c r="D54" s="7" t="s">
        <v>7</v>
      </c>
      <c r="E54" s="7">
        <v>2865.7</v>
      </c>
      <c r="F54" s="7">
        <v>5582.4</v>
      </c>
      <c r="G54" s="7">
        <f>51.76748*G53</f>
        <v>6470.9349999999995</v>
      </c>
      <c r="H54" s="7">
        <f>53.07848*H53</f>
        <v>6634.8099999999995</v>
      </c>
      <c r="I54" s="7">
        <f>54.60448*I53</f>
        <v>6825.56</v>
      </c>
    </row>
    <row r="55" spans="1:15" ht="27" customHeight="1" x14ac:dyDescent="0.25">
      <c r="A55" s="27" t="s">
        <v>38</v>
      </c>
      <c r="B55" s="26" t="s">
        <v>63</v>
      </c>
      <c r="C55" s="9" t="s">
        <v>5</v>
      </c>
      <c r="D55" s="7" t="s">
        <v>53</v>
      </c>
      <c r="E55" s="8">
        <v>53</v>
      </c>
      <c r="F55" s="8">
        <v>60</v>
      </c>
      <c r="G55" s="8">
        <v>49</v>
      </c>
      <c r="H55" s="8">
        <v>49</v>
      </c>
      <c r="I55" s="8">
        <v>49</v>
      </c>
    </row>
    <row r="56" spans="1:15" ht="27" customHeight="1" x14ac:dyDescent="0.25">
      <c r="A56" s="27"/>
      <c r="B56" s="26"/>
      <c r="C56" s="9" t="s">
        <v>6</v>
      </c>
      <c r="D56" s="7" t="s">
        <v>7</v>
      </c>
      <c r="E56" s="7">
        <v>4949</v>
      </c>
      <c r="F56" s="7">
        <v>8400.7000000000007</v>
      </c>
      <c r="G56" s="7">
        <f>162.23262*G55</f>
        <v>7949.3983799999996</v>
      </c>
      <c r="H56" s="7">
        <f>166.51862*H55</f>
        <v>8159.4123799999998</v>
      </c>
      <c r="I56" s="7">
        <f>171.13762*I55</f>
        <v>8385.7433799999999</v>
      </c>
      <c r="J56" s="16"/>
      <c r="K56" s="16"/>
      <c r="L56" s="16"/>
      <c r="M56" s="16"/>
      <c r="N56" s="16"/>
      <c r="O56" s="16"/>
    </row>
    <row r="57" spans="1:15" ht="27" customHeight="1" x14ac:dyDescent="0.25">
      <c r="A57" s="27" t="s">
        <v>39</v>
      </c>
      <c r="B57" s="26" t="s">
        <v>69</v>
      </c>
      <c r="C57" s="9" t="s">
        <v>5</v>
      </c>
      <c r="D57" s="7" t="s">
        <v>53</v>
      </c>
      <c r="E57" s="8">
        <v>30</v>
      </c>
      <c r="F57" s="8">
        <v>44</v>
      </c>
      <c r="G57" s="8">
        <v>27</v>
      </c>
      <c r="H57" s="8">
        <v>27</v>
      </c>
      <c r="I57" s="8">
        <v>27</v>
      </c>
    </row>
    <row r="58" spans="1:15" ht="27" customHeight="1" x14ac:dyDescent="0.25">
      <c r="A58" s="27"/>
      <c r="B58" s="26"/>
      <c r="C58" s="9" t="s">
        <v>6</v>
      </c>
      <c r="D58" s="7" t="s">
        <v>7</v>
      </c>
      <c r="E58" s="7">
        <v>1436.5</v>
      </c>
      <c r="F58" s="7">
        <v>1902.3</v>
      </c>
      <c r="G58" s="7">
        <f>65.24902*G57</f>
        <v>1761.72354</v>
      </c>
      <c r="H58" s="7">
        <f>77.88502*H57</f>
        <v>2102.89554</v>
      </c>
      <c r="I58" s="7">
        <f>77.20202*I57</f>
        <v>2084.4545400000002</v>
      </c>
    </row>
    <row r="59" spans="1:15" ht="27" customHeight="1" x14ac:dyDescent="0.25">
      <c r="A59" s="27" t="s">
        <v>40</v>
      </c>
      <c r="B59" s="26" t="s">
        <v>70</v>
      </c>
      <c r="C59" s="9" t="s">
        <v>5</v>
      </c>
      <c r="D59" s="7" t="s">
        <v>53</v>
      </c>
      <c r="E59" s="8">
        <v>32</v>
      </c>
      <c r="F59" s="8">
        <v>14</v>
      </c>
      <c r="G59" s="8">
        <v>11</v>
      </c>
      <c r="H59" s="8">
        <v>11</v>
      </c>
      <c r="I59" s="8">
        <v>11</v>
      </c>
    </row>
    <row r="60" spans="1:15" ht="27" customHeight="1" x14ac:dyDescent="0.25">
      <c r="A60" s="27"/>
      <c r="B60" s="26"/>
      <c r="C60" s="9" t="s">
        <v>6</v>
      </c>
      <c r="D60" s="7" t="s">
        <v>7</v>
      </c>
      <c r="E60" s="7">
        <v>3567.7</v>
      </c>
      <c r="F60" s="7">
        <v>1605.7</v>
      </c>
      <c r="G60" s="7">
        <f>147.81404*G59</f>
        <v>1625.95444</v>
      </c>
      <c r="H60" s="7">
        <f>162.55304*H59</f>
        <v>1788.0834400000001</v>
      </c>
      <c r="I60" s="7">
        <f>160.72004*I59</f>
        <v>1767.9204400000001</v>
      </c>
      <c r="K60" s="16"/>
    </row>
    <row r="61" spans="1:15" ht="27" customHeight="1" x14ac:dyDescent="0.25">
      <c r="A61" s="27" t="s">
        <v>41</v>
      </c>
      <c r="B61" s="26" t="s">
        <v>71</v>
      </c>
      <c r="C61" s="9" t="s">
        <v>5</v>
      </c>
      <c r="D61" s="7" t="s">
        <v>53</v>
      </c>
      <c r="E61" s="8">
        <v>42</v>
      </c>
      <c r="F61" s="8">
        <v>69</v>
      </c>
      <c r="G61" s="8">
        <v>71</v>
      </c>
      <c r="H61" s="8">
        <v>71</v>
      </c>
      <c r="I61" s="8">
        <v>71</v>
      </c>
    </row>
    <row r="62" spans="1:15" ht="27" customHeight="1" x14ac:dyDescent="0.25">
      <c r="A62" s="27"/>
      <c r="B62" s="26"/>
      <c r="C62" s="9" t="s">
        <v>6</v>
      </c>
      <c r="D62" s="7" t="s">
        <v>7</v>
      </c>
      <c r="E62" s="7">
        <v>1090.7</v>
      </c>
      <c r="F62" s="7">
        <v>3567.2</v>
      </c>
      <c r="G62" s="7">
        <f>61.61582*G61</f>
        <v>4374.7232199999999</v>
      </c>
      <c r="H62" s="7">
        <f>64.64882*H61</f>
        <v>4590.0662199999997</v>
      </c>
      <c r="I62" s="7">
        <f>63.96782*I61</f>
        <v>4541.71522</v>
      </c>
    </row>
    <row r="63" spans="1:15" ht="27" customHeight="1" x14ac:dyDescent="0.25">
      <c r="A63" s="27" t="s">
        <v>64</v>
      </c>
      <c r="B63" s="26" t="s">
        <v>72</v>
      </c>
      <c r="C63" s="9" t="s">
        <v>5</v>
      </c>
      <c r="D63" s="7" t="s">
        <v>53</v>
      </c>
      <c r="E63" s="8">
        <v>65</v>
      </c>
      <c r="F63" s="8">
        <v>53</v>
      </c>
      <c r="G63" s="8">
        <v>49</v>
      </c>
      <c r="H63" s="8">
        <v>49</v>
      </c>
      <c r="I63" s="8">
        <v>49</v>
      </c>
    </row>
    <row r="64" spans="1:15" ht="27" customHeight="1" x14ac:dyDescent="0.25">
      <c r="A64" s="27"/>
      <c r="B64" s="26"/>
      <c r="C64" s="9" t="s">
        <v>6</v>
      </c>
      <c r="D64" s="7" t="s">
        <v>7</v>
      </c>
      <c r="E64" s="7">
        <v>9675.1</v>
      </c>
      <c r="F64" s="7">
        <v>7463</v>
      </c>
      <c r="G64" s="7">
        <f>160.61942*G63</f>
        <v>7870.3515799999996</v>
      </c>
      <c r="H64" s="7">
        <f>165.68642*H63</f>
        <v>8118.6345799999999</v>
      </c>
      <c r="I64" s="7">
        <f>163.62942*I63</f>
        <v>8017.8415800000002</v>
      </c>
    </row>
    <row r="65" spans="1:14" ht="27" customHeight="1" x14ac:dyDescent="0.25">
      <c r="A65" s="27" t="s">
        <v>65</v>
      </c>
      <c r="B65" s="26" t="s">
        <v>73</v>
      </c>
      <c r="C65" s="9" t="s">
        <v>5</v>
      </c>
      <c r="D65" s="7" t="s">
        <v>53</v>
      </c>
      <c r="E65" s="8">
        <v>105</v>
      </c>
      <c r="F65" s="8">
        <v>91</v>
      </c>
      <c r="G65" s="8">
        <v>79</v>
      </c>
      <c r="H65" s="8">
        <v>79</v>
      </c>
      <c r="I65" s="8">
        <v>79</v>
      </c>
    </row>
    <row r="66" spans="1:14" ht="27" customHeight="1" x14ac:dyDescent="0.25">
      <c r="A66" s="27"/>
      <c r="B66" s="26"/>
      <c r="C66" s="9" t="s">
        <v>6</v>
      </c>
      <c r="D66" s="7" t="s">
        <v>7</v>
      </c>
      <c r="E66" s="7">
        <v>4738.2</v>
      </c>
      <c r="F66" s="7">
        <f>3984.2-0.11374</f>
        <v>3984.08626</v>
      </c>
      <c r="G66" s="7">
        <f>55.7481*G65-0.01375</f>
        <v>4404.0861500000001</v>
      </c>
      <c r="H66" s="7">
        <f>59.0441*H65-9.89575</f>
        <v>4654.5881500000005</v>
      </c>
      <c r="I66" s="7">
        <f>58.4581*I65-0.07175</f>
        <v>4618.1181500000002</v>
      </c>
    </row>
    <row r="67" spans="1:14" ht="27" customHeight="1" x14ac:dyDescent="0.25">
      <c r="A67" s="27" t="s">
        <v>66</v>
      </c>
      <c r="B67" s="26" t="s">
        <v>74</v>
      </c>
      <c r="C67" s="9" t="s">
        <v>5</v>
      </c>
      <c r="D67" s="7" t="s">
        <v>53</v>
      </c>
      <c r="E67" s="8">
        <v>57</v>
      </c>
      <c r="F67" s="8">
        <v>77</v>
      </c>
      <c r="G67" s="8">
        <v>99</v>
      </c>
      <c r="H67" s="8">
        <v>99</v>
      </c>
      <c r="I67" s="8">
        <v>99</v>
      </c>
    </row>
    <row r="68" spans="1:14" ht="27" customHeight="1" x14ac:dyDescent="0.25">
      <c r="A68" s="27"/>
      <c r="B68" s="26"/>
      <c r="C68" s="9" t="s">
        <v>6</v>
      </c>
      <c r="D68" s="7" t="s">
        <v>7</v>
      </c>
      <c r="E68" s="7">
        <f>4430.9+31.6+16.35</f>
        <v>4478.8500000000004</v>
      </c>
      <c r="F68" s="7">
        <f>7318.4+0.11</f>
        <v>7318.5099999999993</v>
      </c>
      <c r="G68" s="7">
        <f>97.32641*G67</f>
        <v>9635.31459</v>
      </c>
      <c r="H68" s="7">
        <f>100.93541*H67</f>
        <v>9992.605590000001</v>
      </c>
      <c r="I68" s="7">
        <f>99.76541*I67</f>
        <v>9876.7755900000011</v>
      </c>
      <c r="J68" s="16"/>
      <c r="K68" s="16"/>
      <c r="L68" s="16"/>
      <c r="M68" s="16"/>
      <c r="N68" s="16"/>
    </row>
    <row r="69" spans="1:14" ht="27" customHeight="1" x14ac:dyDescent="0.25">
      <c r="A69" s="27" t="s">
        <v>67</v>
      </c>
      <c r="B69" s="26" t="s">
        <v>51</v>
      </c>
      <c r="C69" s="9" t="s">
        <v>5</v>
      </c>
      <c r="D69" s="7" t="s">
        <v>68</v>
      </c>
      <c r="E69" s="8">
        <v>4446</v>
      </c>
      <c r="F69" s="8">
        <v>4914</v>
      </c>
      <c r="G69" s="8">
        <v>4914</v>
      </c>
      <c r="H69" s="8">
        <v>4914</v>
      </c>
      <c r="I69" s="8">
        <v>4914</v>
      </c>
    </row>
    <row r="70" spans="1:14" ht="27" customHeight="1" x14ac:dyDescent="0.25">
      <c r="A70" s="27"/>
      <c r="B70" s="26"/>
      <c r="C70" s="9" t="s">
        <v>6</v>
      </c>
      <c r="D70" s="7" t="s">
        <v>7</v>
      </c>
      <c r="E70" s="7">
        <v>11035.3</v>
      </c>
      <c r="F70" s="7">
        <f>6372.3+0.044</f>
        <v>6372.3440000000001</v>
      </c>
      <c r="G70" s="7">
        <f>6772.8-0.035</f>
        <v>6772.7650000000003</v>
      </c>
      <c r="H70" s="7">
        <f>6867.97-0.005</f>
        <v>6867.9650000000001</v>
      </c>
      <c r="I70" s="7">
        <f>7107.64+0.008</f>
        <v>7107.6480000000001</v>
      </c>
      <c r="J70" s="16"/>
      <c r="K70" s="16"/>
      <c r="L70" s="16"/>
      <c r="M70" s="16"/>
      <c r="N70" s="16"/>
    </row>
    <row r="71" spans="1:14" ht="53.1" customHeight="1" x14ac:dyDescent="0.25">
      <c r="A71" s="10"/>
      <c r="B71" s="11" t="s">
        <v>15</v>
      </c>
      <c r="C71" s="12" t="s">
        <v>10</v>
      </c>
      <c r="D71" s="13" t="s">
        <v>11</v>
      </c>
      <c r="E71" s="14">
        <f>+E8+E10+E18+E12+E14+E16+E20+E22+E24+E28+E30+E32+E34+E36+E38+E40+E42+E44+E46+E48+E50+E52+E54+E56+E58+E60+E62+E64+E66+E68+E70</f>
        <v>134885.35</v>
      </c>
      <c r="F71" s="14">
        <f>+F8+F10+F18+F12+F14+F16+F20+F22+F24+F28+F30+F32+F34+F36+F38+F40+F42+F44+F46+F48+F50+F52+F54+F56+F58+F60+F62+F64+F66+F68+F70+F26</f>
        <v>148474.51699999999</v>
      </c>
      <c r="G71" s="14">
        <f t="shared" ref="G71:I71" si="1">+G8+G10+G18+G12+G14+G16+G20+G22+G24+G28+G30+G32+G34+G36+G38+G40+G42+G44+G46+G48+G50+G52+G54+G56+G58+G60+G62+G64+G66+G68+G70+G26</f>
        <v>165328.02660000001</v>
      </c>
      <c r="H71" s="14">
        <f t="shared" si="1"/>
        <v>170062.01759999996</v>
      </c>
      <c r="I71" s="14">
        <f t="shared" si="1"/>
        <v>173063.35559999998</v>
      </c>
      <c r="K71" s="15"/>
    </row>
    <row r="76" spans="1:14" x14ac:dyDescent="0.25">
      <c r="E76" s="18"/>
      <c r="F76" s="18"/>
      <c r="G76" s="18"/>
      <c r="H76" s="18"/>
      <c r="I76" s="18"/>
    </row>
    <row r="77" spans="1:14" x14ac:dyDescent="0.25">
      <c r="E77" s="18"/>
      <c r="F77" s="18"/>
      <c r="G77" s="18"/>
      <c r="H77" s="18"/>
      <c r="I77" s="18"/>
    </row>
    <row r="78" spans="1:14" x14ac:dyDescent="0.25">
      <c r="E78" s="18"/>
      <c r="F78" s="18"/>
      <c r="G78" s="18"/>
      <c r="H78" s="18"/>
      <c r="I78" s="18"/>
    </row>
    <row r="79" spans="1:14" x14ac:dyDescent="0.25">
      <c r="E79" s="18"/>
      <c r="F79" s="18"/>
      <c r="G79" s="18"/>
      <c r="H79" s="18"/>
      <c r="I79" s="18"/>
    </row>
    <row r="80" spans="1:14" x14ac:dyDescent="0.25">
      <c r="E80" s="18"/>
      <c r="F80" s="18"/>
      <c r="G80" s="18"/>
      <c r="H80" s="18"/>
      <c r="I80" s="18"/>
    </row>
    <row r="81" spans="5:9" x14ac:dyDescent="0.25">
      <c r="E81" s="18"/>
      <c r="F81" s="18"/>
      <c r="G81" s="18"/>
      <c r="H81" s="18"/>
      <c r="I81" s="18"/>
    </row>
    <row r="82" spans="5:9" x14ac:dyDescent="0.25">
      <c r="E82" s="19"/>
      <c r="F82" s="19"/>
      <c r="G82" s="19"/>
      <c r="H82" s="19"/>
      <c r="I82" s="19"/>
    </row>
    <row r="84" spans="5:9" x14ac:dyDescent="0.25">
      <c r="E84" s="18"/>
      <c r="F84" s="18"/>
      <c r="G84" s="18"/>
      <c r="H84" s="18"/>
      <c r="I84" s="18"/>
    </row>
    <row r="85" spans="5:9" x14ac:dyDescent="0.25">
      <c r="E85" s="18"/>
    </row>
    <row r="86" spans="5:9" x14ac:dyDescent="0.25">
      <c r="E86" s="18"/>
      <c r="F86" s="18"/>
      <c r="G86" s="18"/>
      <c r="H86" s="18"/>
      <c r="I86" s="18"/>
    </row>
    <row r="87" spans="5:9" x14ac:dyDescent="0.25">
      <c r="E87" s="18"/>
      <c r="F87" s="18"/>
      <c r="G87" s="18"/>
      <c r="H87" s="18"/>
      <c r="I87" s="18"/>
    </row>
    <row r="88" spans="5:9" x14ac:dyDescent="0.25">
      <c r="F88" s="18"/>
      <c r="G88" s="18"/>
      <c r="H88" s="18"/>
      <c r="I88" s="18"/>
    </row>
    <row r="89" spans="5:9" x14ac:dyDescent="0.25">
      <c r="F89" s="18"/>
      <c r="G89" s="18"/>
      <c r="H89" s="18"/>
      <c r="I89" s="18"/>
    </row>
    <row r="90" spans="5:9" x14ac:dyDescent="0.25">
      <c r="F90" s="18"/>
      <c r="G90" s="18"/>
      <c r="H90" s="18"/>
      <c r="I90" s="18"/>
    </row>
    <row r="91" spans="5:9" x14ac:dyDescent="0.25">
      <c r="F91" s="18"/>
    </row>
    <row r="92" spans="5:9" x14ac:dyDescent="0.25">
      <c r="F92" s="18"/>
      <c r="G92" s="18"/>
      <c r="H92" s="18"/>
      <c r="I92" s="18"/>
    </row>
    <row r="94" spans="5:9" x14ac:dyDescent="0.25">
      <c r="F94" s="18"/>
      <c r="G94" s="18"/>
      <c r="H94" s="18"/>
      <c r="I94" s="18"/>
    </row>
  </sheetData>
  <autoFilter ref="A5:J5"/>
  <mergeCells count="75">
    <mergeCell ref="A69:A70"/>
    <mergeCell ref="B69:B70"/>
    <mergeCell ref="A57:A58"/>
    <mergeCell ref="B57:B58"/>
    <mergeCell ref="A59:A60"/>
    <mergeCell ref="B59:B60"/>
    <mergeCell ref="A61:A62"/>
    <mergeCell ref="B61:B62"/>
    <mergeCell ref="A63:A64"/>
    <mergeCell ref="B63:B64"/>
    <mergeCell ref="A67:A68"/>
    <mergeCell ref="B67:B68"/>
    <mergeCell ref="A53:A54"/>
    <mergeCell ref="B53:B54"/>
    <mergeCell ref="A55:A56"/>
    <mergeCell ref="B55:B56"/>
    <mergeCell ref="A65:A66"/>
    <mergeCell ref="B65:B66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1:A22"/>
    <mergeCell ref="B21:B22"/>
    <mergeCell ref="A23:A24"/>
    <mergeCell ref="B23:B24"/>
    <mergeCell ref="A27:A28"/>
    <mergeCell ref="B27:B28"/>
    <mergeCell ref="A25:A26"/>
    <mergeCell ref="B25:B26"/>
    <mergeCell ref="A13:A14"/>
    <mergeCell ref="B13:B14"/>
    <mergeCell ref="A15:A16"/>
    <mergeCell ref="B15:B16"/>
    <mergeCell ref="A19:A20"/>
    <mergeCell ref="B19:B20"/>
    <mergeCell ref="A17:A18"/>
    <mergeCell ref="B17:B18"/>
    <mergeCell ref="B7:B8"/>
    <mergeCell ref="A9:A10"/>
    <mergeCell ref="B9:B10"/>
    <mergeCell ref="A11:A12"/>
    <mergeCell ref="B11:B12"/>
    <mergeCell ref="A7:A8"/>
    <mergeCell ref="H1:I1"/>
    <mergeCell ref="B2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gridLines="1"/>
  <pageMargins left="0.70833333333333304" right="0.70833333333333304" top="0.31527777777777799" bottom="0.74791666666666701" header="0.51180555555555496" footer="0.51180555555555496"/>
  <pageSetup paperSize="9" scale="62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4"/>
  <sheetViews>
    <sheetView tabSelected="1" zoomScale="115" zoomScaleNormal="115" workbookViewId="0">
      <pane xSplit="2" ySplit="5" topLeftCell="C12" activePane="bottomRight" state="frozen"/>
      <selection pane="topRight" activeCell="C1" sqref="C1"/>
      <selection pane="bottomLeft" activeCell="A882" sqref="A882"/>
      <selection pane="bottomRight" activeCell="M13" sqref="M13"/>
    </sheetView>
  </sheetViews>
  <sheetFormatPr defaultRowHeight="15" x14ac:dyDescent="0.25"/>
  <cols>
    <col min="1" max="1" width="9.140625" style="1"/>
    <col min="2" max="2" width="50.7109375" style="2" customWidth="1"/>
    <col min="3" max="3" width="26.85546875" style="2" customWidth="1"/>
    <col min="4" max="4" width="11.85546875" style="2" customWidth="1"/>
    <col min="5" max="5" width="13.5703125" style="2" customWidth="1"/>
    <col min="6" max="6" width="13" style="2" customWidth="1"/>
    <col min="7" max="7" width="13.42578125" style="2" customWidth="1"/>
    <col min="8" max="8" width="13.5703125" style="2" customWidth="1"/>
    <col min="9" max="9" width="13.28515625" style="2" customWidth="1"/>
    <col min="10" max="10" width="9.140625" style="2"/>
    <col min="11" max="257" width="9.140625" style="2" customWidth="1"/>
    <col min="258" max="1025" width="9.140625" customWidth="1"/>
  </cols>
  <sheetData>
    <row r="1" spans="1:14" ht="15.6" customHeight="1" x14ac:dyDescent="0.25">
      <c r="H1" s="23" t="s">
        <v>76</v>
      </c>
      <c r="I1" s="23"/>
    </row>
    <row r="2" spans="1:14" ht="51.75" customHeight="1" x14ac:dyDescent="0.25">
      <c r="B2" s="24" t="s">
        <v>77</v>
      </c>
      <c r="C2" s="24"/>
      <c r="D2" s="24"/>
      <c r="E2" s="24"/>
      <c r="F2" s="24"/>
      <c r="G2" s="24"/>
      <c r="H2" s="24"/>
      <c r="I2" s="24"/>
    </row>
    <row r="4" spans="1:14" ht="15" customHeight="1" x14ac:dyDescent="0.25">
      <c r="A4" s="25" t="s">
        <v>0</v>
      </c>
      <c r="B4" s="25" t="s">
        <v>13</v>
      </c>
      <c r="C4" s="25" t="s">
        <v>1</v>
      </c>
      <c r="D4" s="25" t="s">
        <v>2</v>
      </c>
      <c r="E4" s="25" t="s">
        <v>78</v>
      </c>
      <c r="F4" s="25" t="s">
        <v>79</v>
      </c>
      <c r="G4" s="25" t="s">
        <v>3</v>
      </c>
      <c r="H4" s="25" t="s">
        <v>12</v>
      </c>
      <c r="I4" s="25" t="s">
        <v>80</v>
      </c>
    </row>
    <row r="5" spans="1:14" ht="39.200000000000003" customHeight="1" x14ac:dyDescent="0.25">
      <c r="A5" s="25"/>
      <c r="B5" s="25"/>
      <c r="C5" s="25"/>
      <c r="D5" s="25"/>
      <c r="E5" s="25"/>
      <c r="F5" s="25"/>
      <c r="G5" s="25"/>
      <c r="H5" s="25"/>
      <c r="I5" s="25"/>
    </row>
    <row r="6" spans="1:14" ht="27" customHeight="1" x14ac:dyDescent="0.25">
      <c r="A6" s="4">
        <v>1</v>
      </c>
      <c r="B6" s="3" t="s">
        <v>14</v>
      </c>
      <c r="C6" s="4"/>
      <c r="D6" s="4"/>
      <c r="E6" s="4"/>
      <c r="F6" s="4"/>
      <c r="G6" s="4"/>
      <c r="H6" s="5"/>
      <c r="I6" s="6"/>
    </row>
    <row r="7" spans="1:14" ht="43.5" customHeight="1" x14ac:dyDescent="0.25">
      <c r="A7" s="27" t="s">
        <v>4</v>
      </c>
      <c r="B7" s="26" t="s">
        <v>16</v>
      </c>
      <c r="C7" s="9" t="s">
        <v>5</v>
      </c>
      <c r="D7" s="7" t="s">
        <v>17</v>
      </c>
      <c r="E7" s="8">
        <v>40</v>
      </c>
      <c r="F7" s="8">
        <v>58</v>
      </c>
      <c r="G7" s="8">
        <v>75</v>
      </c>
      <c r="H7" s="8">
        <v>75</v>
      </c>
      <c r="I7" s="8">
        <v>75</v>
      </c>
      <c r="L7" s="21"/>
      <c r="M7" s="21"/>
      <c r="N7" s="21"/>
    </row>
    <row r="8" spans="1:14" ht="27" customHeight="1" x14ac:dyDescent="0.25">
      <c r="A8" s="27"/>
      <c r="B8" s="26"/>
      <c r="C8" s="9" t="s">
        <v>6</v>
      </c>
      <c r="D8" s="7" t="s">
        <v>7</v>
      </c>
      <c r="E8" s="7">
        <v>637.79999999999995</v>
      </c>
      <c r="F8" s="7">
        <v>713.9</v>
      </c>
      <c r="G8" s="7">
        <v>913.9</v>
      </c>
      <c r="H8" s="7">
        <v>913.9</v>
      </c>
      <c r="I8" s="7">
        <v>913.9</v>
      </c>
      <c r="K8" s="16"/>
      <c r="L8" s="22"/>
      <c r="M8" s="22"/>
      <c r="N8" s="22"/>
    </row>
    <row r="9" spans="1:14" ht="27" customHeight="1" x14ac:dyDescent="0.25">
      <c r="A9" s="27" t="s">
        <v>8</v>
      </c>
      <c r="B9" s="26" t="s">
        <v>42</v>
      </c>
      <c r="C9" s="9" t="s">
        <v>5</v>
      </c>
      <c r="D9" s="7" t="s">
        <v>17</v>
      </c>
      <c r="E9" s="8">
        <v>8</v>
      </c>
      <c r="F9" s="8">
        <v>11</v>
      </c>
      <c r="G9" s="8">
        <v>17</v>
      </c>
      <c r="H9" s="8">
        <v>17</v>
      </c>
      <c r="I9" s="8">
        <v>17</v>
      </c>
      <c r="L9" s="21"/>
      <c r="M9" s="21"/>
      <c r="N9" s="21"/>
    </row>
    <row r="10" spans="1:14" ht="27" customHeight="1" x14ac:dyDescent="0.25">
      <c r="A10" s="27"/>
      <c r="B10" s="26"/>
      <c r="C10" s="9" t="s">
        <v>6</v>
      </c>
      <c r="D10" s="7" t="s">
        <v>7</v>
      </c>
      <c r="E10" s="7">
        <v>50.7</v>
      </c>
      <c r="F10" s="7">
        <v>214.2</v>
      </c>
      <c r="G10" s="7">
        <v>214.2</v>
      </c>
      <c r="H10" s="7">
        <v>214.2</v>
      </c>
      <c r="I10" s="7">
        <v>214.2</v>
      </c>
      <c r="L10" s="22"/>
      <c r="M10" s="22"/>
      <c r="N10" s="22"/>
    </row>
    <row r="11" spans="1:14" ht="27" customHeight="1" x14ac:dyDescent="0.25">
      <c r="A11" s="27" t="s">
        <v>9</v>
      </c>
      <c r="B11" s="26" t="s">
        <v>43</v>
      </c>
      <c r="C11" s="9" t="s">
        <v>5</v>
      </c>
      <c r="D11" s="7" t="s">
        <v>17</v>
      </c>
      <c r="E11" s="8">
        <v>11</v>
      </c>
      <c r="F11" s="8">
        <v>39</v>
      </c>
      <c r="G11" s="8">
        <v>55</v>
      </c>
      <c r="H11" s="8">
        <v>55</v>
      </c>
      <c r="I11" s="8">
        <v>55</v>
      </c>
      <c r="L11" s="21"/>
      <c r="M11" s="21"/>
      <c r="N11" s="21"/>
    </row>
    <row r="12" spans="1:14" ht="27" customHeight="1" x14ac:dyDescent="0.25">
      <c r="A12" s="27"/>
      <c r="B12" s="26"/>
      <c r="C12" s="9" t="s">
        <v>6</v>
      </c>
      <c r="D12" s="7" t="s">
        <v>7</v>
      </c>
      <c r="E12" s="7">
        <v>194.7</v>
      </c>
      <c r="F12" s="7">
        <f>563.8+0.04321</f>
        <v>563.84321</v>
      </c>
      <c r="G12" s="7">
        <v>789.2</v>
      </c>
      <c r="H12" s="7">
        <v>789.2</v>
      </c>
      <c r="I12" s="7">
        <v>789.2</v>
      </c>
      <c r="L12" s="22"/>
      <c r="M12" s="22"/>
      <c r="N12" s="22"/>
    </row>
    <row r="13" spans="1:14" ht="27" customHeight="1" x14ac:dyDescent="0.25">
      <c r="A13" s="27" t="s">
        <v>18</v>
      </c>
      <c r="B13" s="26" t="s">
        <v>44</v>
      </c>
      <c r="C13" s="9" t="s">
        <v>5</v>
      </c>
      <c r="D13" s="7" t="s">
        <v>17</v>
      </c>
      <c r="E13" s="8">
        <v>12</v>
      </c>
      <c r="F13" s="8">
        <v>26</v>
      </c>
      <c r="G13" s="8">
        <v>27</v>
      </c>
      <c r="H13" s="8">
        <v>27</v>
      </c>
      <c r="I13" s="8">
        <v>27</v>
      </c>
      <c r="L13" s="21"/>
      <c r="M13" s="21"/>
      <c r="N13" s="21"/>
    </row>
    <row r="14" spans="1:14" ht="27" customHeight="1" x14ac:dyDescent="0.25">
      <c r="A14" s="27"/>
      <c r="B14" s="26"/>
      <c r="C14" s="9" t="s">
        <v>6</v>
      </c>
      <c r="D14" s="7" t="s">
        <v>7</v>
      </c>
      <c r="E14" s="7">
        <v>311.8</v>
      </c>
      <c r="F14" s="7">
        <v>830</v>
      </c>
      <c r="G14" s="7">
        <v>830</v>
      </c>
      <c r="H14" s="7">
        <v>830</v>
      </c>
      <c r="I14" s="7">
        <v>830</v>
      </c>
      <c r="J14" s="16"/>
      <c r="K14" s="16"/>
      <c r="L14" s="22"/>
      <c r="M14" s="22"/>
      <c r="N14" s="22"/>
    </row>
    <row r="15" spans="1:14" ht="27" customHeight="1" x14ac:dyDescent="0.25">
      <c r="A15" s="27" t="s">
        <v>19</v>
      </c>
      <c r="B15" s="26" t="s">
        <v>45</v>
      </c>
      <c r="C15" s="9" t="s">
        <v>5</v>
      </c>
      <c r="D15" s="7" t="s">
        <v>17</v>
      </c>
      <c r="E15" s="8">
        <v>3</v>
      </c>
      <c r="F15" s="8">
        <v>8</v>
      </c>
      <c r="G15" s="8">
        <v>7</v>
      </c>
      <c r="H15" s="8">
        <v>7</v>
      </c>
      <c r="I15" s="8">
        <v>7</v>
      </c>
      <c r="K15" s="16"/>
      <c r="L15" s="21"/>
      <c r="M15" s="21"/>
      <c r="N15" s="21"/>
    </row>
    <row r="16" spans="1:14" ht="42" customHeight="1" x14ac:dyDescent="0.25">
      <c r="A16" s="27"/>
      <c r="B16" s="26"/>
      <c r="C16" s="9" t="s">
        <v>6</v>
      </c>
      <c r="D16" s="7" t="s">
        <v>7</v>
      </c>
      <c r="E16" s="7">
        <v>73.3</v>
      </c>
      <c r="F16" s="7">
        <v>52.7</v>
      </c>
      <c r="G16" s="7">
        <v>52.7</v>
      </c>
      <c r="H16" s="7">
        <v>52.7</v>
      </c>
      <c r="I16" s="7">
        <v>52.7</v>
      </c>
      <c r="K16" s="16"/>
      <c r="L16" s="22"/>
      <c r="M16" s="22"/>
      <c r="N16" s="22"/>
    </row>
    <row r="17" spans="1:14" ht="27" customHeight="1" x14ac:dyDescent="0.25">
      <c r="A17" s="27" t="s">
        <v>20</v>
      </c>
      <c r="B17" s="26" t="s">
        <v>47</v>
      </c>
      <c r="C17" s="9" t="s">
        <v>5</v>
      </c>
      <c r="D17" s="7" t="s">
        <v>46</v>
      </c>
      <c r="E17" s="8">
        <v>3</v>
      </c>
      <c r="F17" s="8">
        <v>5</v>
      </c>
      <c r="G17" s="8">
        <v>4</v>
      </c>
      <c r="H17" s="8">
        <v>4</v>
      </c>
      <c r="I17" s="8">
        <v>4</v>
      </c>
      <c r="L17" s="21"/>
      <c r="M17" s="21"/>
      <c r="N17" s="21"/>
    </row>
    <row r="18" spans="1:14" ht="27" customHeight="1" x14ac:dyDescent="0.25">
      <c r="A18" s="27"/>
      <c r="B18" s="26"/>
      <c r="C18" s="9" t="s">
        <v>6</v>
      </c>
      <c r="D18" s="7" t="s">
        <v>7</v>
      </c>
      <c r="E18" s="7">
        <v>1097.5999999999999</v>
      </c>
      <c r="F18" s="7">
        <v>450</v>
      </c>
      <c r="G18" s="7">
        <f>362500*G17/1000</f>
        <v>1450</v>
      </c>
      <c r="H18" s="7">
        <f>362500*H17/1000</f>
        <v>1450</v>
      </c>
      <c r="I18" s="7">
        <f>362500*I17/1000</f>
        <v>1450</v>
      </c>
      <c r="J18" s="18">
        <f>E8+E10+E12+E14+E16+E18</f>
        <v>2365.8999999999996</v>
      </c>
      <c r="K18" s="18">
        <f t="shared" ref="K18:N18" si="0">F8+F10+F12+F14+F16+F18</f>
        <v>2824.6432099999997</v>
      </c>
      <c r="L18" s="18">
        <f t="shared" si="0"/>
        <v>4250</v>
      </c>
      <c r="M18" s="18">
        <f t="shared" si="0"/>
        <v>4250</v>
      </c>
      <c r="N18" s="18">
        <f t="shared" si="0"/>
        <v>4250</v>
      </c>
    </row>
    <row r="19" spans="1:14" ht="27" customHeight="1" x14ac:dyDescent="0.25">
      <c r="A19" s="27" t="s">
        <v>21</v>
      </c>
      <c r="B19" s="26" t="s">
        <v>48</v>
      </c>
      <c r="C19" s="9" t="s">
        <v>5</v>
      </c>
      <c r="D19" s="7" t="s">
        <v>46</v>
      </c>
      <c r="E19" s="17">
        <v>150</v>
      </c>
      <c r="F19" s="17">
        <v>100</v>
      </c>
      <c r="G19" s="17">
        <v>100</v>
      </c>
      <c r="H19" s="17">
        <v>100</v>
      </c>
      <c r="I19" s="17">
        <v>100</v>
      </c>
    </row>
    <row r="20" spans="1:14" ht="27" customHeight="1" x14ac:dyDescent="0.25">
      <c r="A20" s="27"/>
      <c r="B20" s="26"/>
      <c r="C20" s="9" t="s">
        <v>6</v>
      </c>
      <c r="D20" s="7" t="s">
        <v>7</v>
      </c>
      <c r="E20" s="7">
        <v>1825.1</v>
      </c>
      <c r="F20" s="7">
        <v>2046.6</v>
      </c>
      <c r="G20" s="7">
        <v>2125.8220000000001</v>
      </c>
      <c r="H20" s="7">
        <v>2177.663</v>
      </c>
      <c r="I20" s="7">
        <v>2222.6590000000001</v>
      </c>
    </row>
    <row r="21" spans="1:14" ht="27" customHeight="1" x14ac:dyDescent="0.25">
      <c r="A21" s="27" t="s">
        <v>22</v>
      </c>
      <c r="B21" s="26" t="s">
        <v>50</v>
      </c>
      <c r="C21" s="9" t="s">
        <v>5</v>
      </c>
      <c r="D21" s="7" t="s">
        <v>49</v>
      </c>
      <c r="E21" s="8">
        <v>3</v>
      </c>
      <c r="F21" s="8">
        <v>4</v>
      </c>
      <c r="G21" s="8">
        <v>4</v>
      </c>
      <c r="H21" s="8">
        <v>4</v>
      </c>
      <c r="I21" s="8">
        <v>4</v>
      </c>
    </row>
    <row r="22" spans="1:14" ht="27" customHeight="1" x14ac:dyDescent="0.25">
      <c r="A22" s="27"/>
      <c r="B22" s="26"/>
      <c r="C22" s="9" t="s">
        <v>6</v>
      </c>
      <c r="D22" s="7" t="s">
        <v>7</v>
      </c>
      <c r="E22" s="7">
        <v>7641.2</v>
      </c>
      <c r="F22" s="7">
        <v>10105.5</v>
      </c>
      <c r="G22" s="7">
        <v>10496.61</v>
      </c>
      <c r="H22" s="7">
        <v>10752.582</v>
      </c>
      <c r="I22" s="7">
        <v>10974.754999999999</v>
      </c>
    </row>
    <row r="23" spans="1:14" ht="54.75" customHeight="1" x14ac:dyDescent="0.25">
      <c r="A23" s="27" t="s">
        <v>23</v>
      </c>
      <c r="B23" s="26" t="s">
        <v>88</v>
      </c>
      <c r="C23" s="9" t="s">
        <v>5</v>
      </c>
      <c r="D23" s="7" t="s">
        <v>75</v>
      </c>
      <c r="E23" s="20">
        <v>8691</v>
      </c>
      <c r="F23" s="17"/>
      <c r="G23" s="17"/>
      <c r="H23" s="17"/>
      <c r="I23" s="17"/>
    </row>
    <row r="24" spans="1:14" ht="27" customHeight="1" x14ac:dyDescent="0.25">
      <c r="A24" s="27"/>
      <c r="B24" s="26"/>
      <c r="C24" s="9" t="s">
        <v>6</v>
      </c>
      <c r="D24" s="7" t="s">
        <v>7</v>
      </c>
      <c r="E24" s="7">
        <v>21704.7</v>
      </c>
      <c r="F24" s="7"/>
      <c r="G24" s="7"/>
      <c r="H24" s="7"/>
      <c r="I24" s="7"/>
      <c r="J24" s="16"/>
      <c r="K24" s="16"/>
      <c r="L24" s="16"/>
      <c r="M24" s="16"/>
      <c r="N24" s="16"/>
    </row>
    <row r="25" spans="1:14" ht="27" customHeight="1" x14ac:dyDescent="0.25">
      <c r="A25" s="27" t="s">
        <v>90</v>
      </c>
      <c r="B25" s="26" t="s">
        <v>96</v>
      </c>
      <c r="C25" s="9" t="s">
        <v>5</v>
      </c>
      <c r="D25" s="7" t="s">
        <v>89</v>
      </c>
      <c r="E25" s="20"/>
      <c r="F25" s="17">
        <v>200</v>
      </c>
      <c r="G25" s="17">
        <v>210</v>
      </c>
      <c r="H25" s="17">
        <v>220</v>
      </c>
      <c r="I25" s="17">
        <v>220</v>
      </c>
      <c r="J25" s="16"/>
      <c r="K25" s="16"/>
      <c r="L25" s="16"/>
      <c r="M25" s="16"/>
      <c r="N25" s="16"/>
    </row>
    <row r="26" spans="1:14" ht="27" customHeight="1" x14ac:dyDescent="0.25">
      <c r="A26" s="27"/>
      <c r="B26" s="26"/>
      <c r="C26" s="9" t="s">
        <v>6</v>
      </c>
      <c r="D26" s="7" t="s">
        <v>7</v>
      </c>
      <c r="E26" s="7"/>
      <c r="F26" s="7">
        <f>37216.8-0.037</f>
        <v>37216.763000000006</v>
      </c>
      <c r="G26" s="7">
        <f>38657.198-0.003</f>
        <v>38657.195</v>
      </c>
      <c r="H26" s="7">
        <v>39599.904999999999</v>
      </c>
      <c r="I26" s="7">
        <v>40418.131000000001</v>
      </c>
      <c r="J26" s="16">
        <f>E22+E24+E20+E26</f>
        <v>31171</v>
      </c>
      <c r="K26" s="16">
        <f>F22+F24+F20+F26</f>
        <v>49368.863000000005</v>
      </c>
      <c r="L26" s="16">
        <f t="shared" ref="L26:N26" si="1">G22+G24+G20+G26</f>
        <v>51279.627</v>
      </c>
      <c r="M26" s="16">
        <f t="shared" si="1"/>
        <v>52530.15</v>
      </c>
      <c r="N26" s="16">
        <f t="shared" si="1"/>
        <v>53615.544999999998</v>
      </c>
    </row>
    <row r="27" spans="1:14" ht="43.5" customHeight="1" x14ac:dyDescent="0.25">
      <c r="A27" s="27" t="s">
        <v>24</v>
      </c>
      <c r="B27" s="26" t="s">
        <v>91</v>
      </c>
      <c r="C27" s="9" t="s">
        <v>5</v>
      </c>
      <c r="D27" s="7" t="s">
        <v>52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K27" s="16"/>
    </row>
    <row r="28" spans="1:14" ht="51" customHeight="1" x14ac:dyDescent="0.25">
      <c r="A28" s="27"/>
      <c r="B28" s="26"/>
      <c r="C28" s="9" t="s">
        <v>6</v>
      </c>
      <c r="D28" s="7" t="s">
        <v>7</v>
      </c>
      <c r="E28" s="7">
        <v>343.9</v>
      </c>
      <c r="F28" s="7">
        <v>353.91199999999998</v>
      </c>
      <c r="G28" s="7">
        <v>405.53500000000003</v>
      </c>
      <c r="H28" s="7">
        <v>419.00200000000001</v>
      </c>
      <c r="I28" s="7">
        <v>432.77100000000002</v>
      </c>
      <c r="K28" s="16"/>
    </row>
    <row r="29" spans="1:14" ht="27" customHeight="1" x14ac:dyDescent="0.25">
      <c r="A29" s="27" t="s">
        <v>25</v>
      </c>
      <c r="B29" s="26" t="s">
        <v>92</v>
      </c>
      <c r="C29" s="9" t="s">
        <v>5</v>
      </c>
      <c r="D29" s="7" t="s">
        <v>52</v>
      </c>
      <c r="E29" s="8">
        <v>4</v>
      </c>
      <c r="F29" s="8">
        <v>4</v>
      </c>
      <c r="G29" s="8">
        <v>4</v>
      </c>
      <c r="H29" s="8">
        <v>4</v>
      </c>
      <c r="I29" s="8">
        <v>4</v>
      </c>
    </row>
    <row r="30" spans="1:14" ht="42" customHeight="1" x14ac:dyDescent="0.25">
      <c r="A30" s="27"/>
      <c r="B30" s="26"/>
      <c r="C30" s="9" t="s">
        <v>6</v>
      </c>
      <c r="D30" s="7" t="s">
        <v>7</v>
      </c>
      <c r="E30" s="7">
        <v>1518.7</v>
      </c>
      <c r="F30" s="7">
        <v>1562.136</v>
      </c>
      <c r="G30" s="7">
        <f>443.948*G29</f>
        <v>1775.7919999999999</v>
      </c>
      <c r="H30" s="7">
        <f>458.67*H29</f>
        <v>1834.68</v>
      </c>
      <c r="I30" s="7">
        <f>473.747*I29</f>
        <v>1894.9880000000001</v>
      </c>
    </row>
    <row r="31" spans="1:14" ht="34.5" customHeight="1" x14ac:dyDescent="0.25">
      <c r="A31" s="27" t="s">
        <v>26</v>
      </c>
      <c r="B31" s="26" t="s">
        <v>93</v>
      </c>
      <c r="C31" s="9" t="s">
        <v>5</v>
      </c>
      <c r="D31" s="7" t="s">
        <v>52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</row>
    <row r="32" spans="1:14" ht="60.75" customHeight="1" x14ac:dyDescent="0.25">
      <c r="A32" s="27"/>
      <c r="B32" s="26"/>
      <c r="C32" s="9" t="s">
        <v>6</v>
      </c>
      <c r="D32" s="7" t="s">
        <v>7</v>
      </c>
      <c r="E32" s="7">
        <v>703</v>
      </c>
      <c r="F32" s="7">
        <v>719.875</v>
      </c>
      <c r="G32" s="7">
        <v>793.62300000000005</v>
      </c>
      <c r="H32" s="7">
        <v>822.62699999999995</v>
      </c>
      <c r="I32" s="7">
        <v>852.54300000000001</v>
      </c>
    </row>
    <row r="33" spans="1:14" ht="44.45" customHeight="1" x14ac:dyDescent="0.25">
      <c r="A33" s="27" t="s">
        <v>27</v>
      </c>
      <c r="B33" s="26" t="s">
        <v>94</v>
      </c>
      <c r="C33" s="9" t="s">
        <v>5</v>
      </c>
      <c r="D33" s="7" t="s">
        <v>52</v>
      </c>
      <c r="E33" s="8">
        <v>1</v>
      </c>
      <c r="F33" s="8">
        <v>1</v>
      </c>
      <c r="G33" s="8">
        <v>1</v>
      </c>
      <c r="H33" s="8">
        <v>1</v>
      </c>
      <c r="I33" s="8">
        <v>1</v>
      </c>
    </row>
    <row r="34" spans="1:14" ht="27" customHeight="1" x14ac:dyDescent="0.25">
      <c r="A34" s="27"/>
      <c r="B34" s="26"/>
      <c r="C34" s="9" t="s">
        <v>6</v>
      </c>
      <c r="D34" s="7" t="s">
        <v>7</v>
      </c>
      <c r="E34" s="7">
        <v>718.9</v>
      </c>
      <c r="F34" s="7">
        <f>739.841</f>
        <v>739.84100000000001</v>
      </c>
      <c r="G34" s="7">
        <v>813.58900000000006</v>
      </c>
      <c r="H34" s="7">
        <f>842.593+0.008</f>
        <v>842.601</v>
      </c>
      <c r="I34" s="7">
        <f>872.509+0.001</f>
        <v>872.51</v>
      </c>
    </row>
    <row r="35" spans="1:14" ht="27" customHeight="1" x14ac:dyDescent="0.25">
      <c r="A35" s="27" t="s">
        <v>28</v>
      </c>
      <c r="B35" s="26" t="s">
        <v>95</v>
      </c>
      <c r="C35" s="9" t="s">
        <v>5</v>
      </c>
      <c r="D35" s="7" t="s">
        <v>52</v>
      </c>
      <c r="E35" s="8">
        <v>3</v>
      </c>
      <c r="F35" s="8">
        <v>3</v>
      </c>
      <c r="G35" s="8">
        <v>3</v>
      </c>
      <c r="H35" s="8">
        <v>3</v>
      </c>
      <c r="I35" s="8">
        <v>3</v>
      </c>
    </row>
    <row r="36" spans="1:14" ht="27" customHeight="1" x14ac:dyDescent="0.25">
      <c r="A36" s="27"/>
      <c r="B36" s="26"/>
      <c r="C36" s="9" t="s">
        <v>6</v>
      </c>
      <c r="D36" s="7" t="s">
        <v>7</v>
      </c>
      <c r="E36" s="7">
        <v>2484.5</v>
      </c>
      <c r="F36" s="7">
        <f>2572.944</f>
        <v>2572.944</v>
      </c>
      <c r="G36" s="7">
        <f>938.557*G35</f>
        <v>2815.6710000000003</v>
      </c>
      <c r="H36" s="7">
        <f>972.588*H35</f>
        <v>2917.7640000000001</v>
      </c>
      <c r="I36" s="7">
        <f>1007.727*I35</f>
        <v>3023.181</v>
      </c>
      <c r="J36" s="16">
        <f>E28+E30+E32+E34+E36</f>
        <v>5769</v>
      </c>
      <c r="K36" s="16">
        <f t="shared" ref="K36:N36" si="2">F28+F30+F32+F34+F36</f>
        <v>5948.7079999999996</v>
      </c>
      <c r="L36" s="16">
        <f t="shared" si="2"/>
        <v>6604.21</v>
      </c>
      <c r="M36" s="16">
        <f t="shared" si="2"/>
        <v>6836.6740000000009</v>
      </c>
      <c r="N36" s="16">
        <f t="shared" si="2"/>
        <v>7075.9930000000004</v>
      </c>
    </row>
    <row r="37" spans="1:14" ht="27" customHeight="1" x14ac:dyDescent="0.25">
      <c r="A37" s="27" t="s">
        <v>29</v>
      </c>
      <c r="B37" s="26" t="s">
        <v>54</v>
      </c>
      <c r="C37" s="9" t="s">
        <v>5</v>
      </c>
      <c r="D37" s="7" t="s">
        <v>53</v>
      </c>
      <c r="E37" s="8">
        <v>233</v>
      </c>
      <c r="F37" s="8">
        <v>218</v>
      </c>
      <c r="G37" s="8">
        <v>176</v>
      </c>
      <c r="H37" s="8">
        <v>176</v>
      </c>
      <c r="I37" s="8">
        <v>176</v>
      </c>
    </row>
    <row r="38" spans="1:14" ht="27" customHeight="1" x14ac:dyDescent="0.25">
      <c r="A38" s="27"/>
      <c r="B38" s="26"/>
      <c r="C38" s="9" t="s">
        <v>6</v>
      </c>
      <c r="D38" s="7" t="s">
        <v>7</v>
      </c>
      <c r="E38" s="7">
        <f>5937.9</f>
        <v>5937.9</v>
      </c>
      <c r="F38" s="7">
        <f>7682.9+0.06253</f>
        <v>7682.9625299999998</v>
      </c>
      <c r="G38" s="7">
        <f>53.40368*G37-0.76494</f>
        <v>9398.2827400000006</v>
      </c>
      <c r="H38" s="7">
        <f>54.43968*H37-0.48294</f>
        <v>9580.900740000001</v>
      </c>
      <c r="I38" s="7">
        <f>55.67668*I37-0.47994</f>
        <v>9798.6157400000011</v>
      </c>
    </row>
    <row r="39" spans="1:14" ht="27" customHeight="1" x14ac:dyDescent="0.25">
      <c r="A39" s="27" t="s">
        <v>30</v>
      </c>
      <c r="B39" s="26" t="s">
        <v>55</v>
      </c>
      <c r="C39" s="9" t="s">
        <v>5</v>
      </c>
      <c r="D39" s="7" t="s">
        <v>53</v>
      </c>
      <c r="E39" s="8">
        <v>135</v>
      </c>
      <c r="F39" s="8">
        <v>149</v>
      </c>
      <c r="G39" s="8">
        <v>194</v>
      </c>
      <c r="H39" s="8">
        <v>194</v>
      </c>
      <c r="I39" s="8">
        <v>194</v>
      </c>
    </row>
    <row r="40" spans="1:14" ht="27" customHeight="1" x14ac:dyDescent="0.25">
      <c r="A40" s="27"/>
      <c r="B40" s="26"/>
      <c r="C40" s="9" t="s">
        <v>6</v>
      </c>
      <c r="D40" s="7" t="s">
        <v>7</v>
      </c>
      <c r="E40" s="7">
        <v>6534.4</v>
      </c>
      <c r="F40" s="7">
        <v>14411.2</v>
      </c>
      <c r="G40" s="7">
        <f>93.75364*G39</f>
        <v>18188.206160000002</v>
      </c>
      <c r="H40" s="7">
        <f>95.92964*H39</f>
        <v>18610.350160000002</v>
      </c>
      <c r="I40" s="7">
        <f>98.35364*I39</f>
        <v>19080.606159999999</v>
      </c>
    </row>
    <row r="41" spans="1:14" ht="27" customHeight="1" x14ac:dyDescent="0.25">
      <c r="A41" s="27" t="s">
        <v>31</v>
      </c>
      <c r="B41" s="26" t="s">
        <v>56</v>
      </c>
      <c r="C41" s="9" t="s">
        <v>5</v>
      </c>
      <c r="D41" s="7" t="s">
        <v>53</v>
      </c>
      <c r="E41" s="8">
        <v>37</v>
      </c>
      <c r="F41" s="8">
        <v>24</v>
      </c>
      <c r="G41" s="8">
        <v>33</v>
      </c>
      <c r="H41" s="8">
        <v>33</v>
      </c>
      <c r="I41" s="8">
        <v>33</v>
      </c>
    </row>
    <row r="42" spans="1:14" ht="27" customHeight="1" x14ac:dyDescent="0.25">
      <c r="A42" s="27"/>
      <c r="B42" s="26"/>
      <c r="C42" s="9" t="s">
        <v>6</v>
      </c>
      <c r="D42" s="7" t="s">
        <v>7</v>
      </c>
      <c r="E42" s="7">
        <v>4577.2</v>
      </c>
      <c r="F42" s="7">
        <v>866.9</v>
      </c>
      <c r="G42" s="7">
        <f>45.98104*G41</f>
        <v>1517.3743199999999</v>
      </c>
      <c r="H42" s="7">
        <f>46.91804*H41</f>
        <v>1548.2953199999999</v>
      </c>
      <c r="I42" s="7">
        <f>48.05204*I41</f>
        <v>1585.71732</v>
      </c>
    </row>
    <row r="43" spans="1:14" ht="27" customHeight="1" x14ac:dyDescent="0.25">
      <c r="A43" s="27" t="s">
        <v>32</v>
      </c>
      <c r="B43" s="26" t="s">
        <v>57</v>
      </c>
      <c r="C43" s="9" t="s">
        <v>5</v>
      </c>
      <c r="D43" s="7" t="s">
        <v>53</v>
      </c>
      <c r="E43" s="8">
        <v>38</v>
      </c>
      <c r="F43" s="8">
        <v>44</v>
      </c>
      <c r="G43" s="8">
        <v>36</v>
      </c>
      <c r="H43" s="8">
        <v>36</v>
      </c>
      <c r="I43" s="8">
        <v>36</v>
      </c>
    </row>
    <row r="44" spans="1:14" ht="27" customHeight="1" x14ac:dyDescent="0.25">
      <c r="A44" s="27"/>
      <c r="B44" s="26"/>
      <c r="C44" s="9" t="s">
        <v>6</v>
      </c>
      <c r="D44" s="7" t="s">
        <v>7</v>
      </c>
      <c r="E44" s="7">
        <v>13968.6</v>
      </c>
      <c r="F44" s="7">
        <v>3308.6</v>
      </c>
      <c r="G44" s="7">
        <f>92.80149*G43</f>
        <v>3340.8536400000003</v>
      </c>
      <c r="H44" s="7">
        <f>94.75549*H43</f>
        <v>3411.1976399999999</v>
      </c>
      <c r="I44" s="7">
        <f>96.94949*I43</f>
        <v>3490.1816399999998</v>
      </c>
    </row>
    <row r="45" spans="1:14" ht="27" customHeight="1" x14ac:dyDescent="0.25">
      <c r="A45" s="27" t="s">
        <v>33</v>
      </c>
      <c r="B45" s="26" t="s">
        <v>58</v>
      </c>
      <c r="C45" s="9" t="s">
        <v>5</v>
      </c>
      <c r="D45" s="7" t="s">
        <v>53</v>
      </c>
      <c r="E45" s="8">
        <v>36</v>
      </c>
      <c r="F45" s="8">
        <v>16</v>
      </c>
      <c r="G45" s="8">
        <v>34</v>
      </c>
      <c r="H45" s="8">
        <v>34</v>
      </c>
      <c r="I45" s="8">
        <v>34</v>
      </c>
    </row>
    <row r="46" spans="1:14" ht="27" customHeight="1" x14ac:dyDescent="0.25">
      <c r="A46" s="27"/>
      <c r="B46" s="26"/>
      <c r="C46" s="9" t="s">
        <v>6</v>
      </c>
      <c r="D46" s="7" t="s">
        <v>7</v>
      </c>
      <c r="E46" s="7">
        <v>6223.4</v>
      </c>
      <c r="F46" s="7">
        <v>1313.8</v>
      </c>
      <c r="G46" s="7">
        <f>59.75349*G45</f>
        <v>2031.6186600000001</v>
      </c>
      <c r="H46" s="7">
        <f>61.24149*H45</f>
        <v>2082.2106599999997</v>
      </c>
      <c r="I46" s="7">
        <f>62.94549*I45</f>
        <v>2140.1466599999999</v>
      </c>
    </row>
    <row r="47" spans="1:14" ht="27" customHeight="1" x14ac:dyDescent="0.25">
      <c r="A47" s="27" t="s">
        <v>34</v>
      </c>
      <c r="B47" s="26" t="s">
        <v>59</v>
      </c>
      <c r="C47" s="9" t="s">
        <v>5</v>
      </c>
      <c r="D47" s="7" t="s">
        <v>53</v>
      </c>
      <c r="E47" s="8">
        <v>15</v>
      </c>
      <c r="F47" s="8">
        <v>32</v>
      </c>
      <c r="G47" s="8">
        <v>29</v>
      </c>
      <c r="H47" s="8">
        <v>29</v>
      </c>
      <c r="I47" s="8">
        <v>29</v>
      </c>
    </row>
    <row r="48" spans="1:14" ht="27" customHeight="1" x14ac:dyDescent="0.25">
      <c r="A48" s="27"/>
      <c r="B48" s="26"/>
      <c r="C48" s="9" t="s">
        <v>6</v>
      </c>
      <c r="D48" s="7" t="s">
        <v>7</v>
      </c>
      <c r="E48" s="7">
        <v>7468.3</v>
      </c>
      <c r="F48" s="7">
        <v>4376.3999999999996</v>
      </c>
      <c r="G48" s="7">
        <f>153.39502*G47</f>
        <v>4448.4555799999998</v>
      </c>
      <c r="H48" s="7">
        <f>157.36402*H47</f>
        <v>4563.5565800000004</v>
      </c>
      <c r="I48" s="7">
        <f>161.65402*I47</f>
        <v>4687.9665800000002</v>
      </c>
    </row>
    <row r="49" spans="1:15" ht="27" customHeight="1" x14ac:dyDescent="0.25">
      <c r="A49" s="27" t="s">
        <v>35</v>
      </c>
      <c r="B49" s="26" t="s">
        <v>60</v>
      </c>
      <c r="C49" s="9" t="s">
        <v>5</v>
      </c>
      <c r="D49" s="7" t="s">
        <v>53</v>
      </c>
      <c r="E49" s="8">
        <v>76</v>
      </c>
      <c r="F49" s="8">
        <v>78</v>
      </c>
      <c r="G49" s="8">
        <v>85</v>
      </c>
      <c r="H49" s="8">
        <v>85</v>
      </c>
      <c r="I49" s="8">
        <v>85</v>
      </c>
    </row>
    <row r="50" spans="1:15" ht="27" customHeight="1" x14ac:dyDescent="0.25">
      <c r="A50" s="27"/>
      <c r="B50" s="26"/>
      <c r="C50" s="9" t="s">
        <v>6</v>
      </c>
      <c r="D50" s="7" t="s">
        <v>7</v>
      </c>
      <c r="E50" s="7">
        <v>2003.3</v>
      </c>
      <c r="F50" s="7">
        <v>4208.7</v>
      </c>
      <c r="G50" s="7">
        <f>54.54514*G49</f>
        <v>4636.3369000000002</v>
      </c>
      <c r="H50" s="7">
        <f>55.89114*H49</f>
        <v>4750.7469000000001</v>
      </c>
      <c r="I50" s="7">
        <f>57.45214*I49</f>
        <v>4883.4318999999996</v>
      </c>
    </row>
    <row r="51" spans="1:15" ht="27" customHeight="1" x14ac:dyDescent="0.25">
      <c r="A51" s="27" t="s">
        <v>36</v>
      </c>
      <c r="B51" s="26" t="s">
        <v>61</v>
      </c>
      <c r="C51" s="9" t="s">
        <v>5</v>
      </c>
      <c r="D51" s="7" t="s">
        <v>53</v>
      </c>
      <c r="E51" s="8">
        <v>69</v>
      </c>
      <c r="F51" s="8">
        <v>66</v>
      </c>
      <c r="G51" s="8">
        <v>65</v>
      </c>
      <c r="H51" s="8">
        <v>65</v>
      </c>
      <c r="I51" s="8">
        <v>65</v>
      </c>
    </row>
    <row r="52" spans="1:15" ht="27" customHeight="1" x14ac:dyDescent="0.25">
      <c r="A52" s="27"/>
      <c r="B52" s="26"/>
      <c r="C52" s="9" t="s">
        <v>6</v>
      </c>
      <c r="D52" s="7" t="s">
        <v>7</v>
      </c>
      <c r="E52" s="7">
        <v>5029.3</v>
      </c>
      <c r="F52" s="7">
        <v>7967.5</v>
      </c>
      <c r="G52" s="7">
        <f>134.88938*G51</f>
        <v>8767.8096999999998</v>
      </c>
      <c r="H52" s="7">
        <f>138.29038*H51</f>
        <v>8988.8747000000003</v>
      </c>
      <c r="I52" s="7">
        <f>141.99038*I51</f>
        <v>9229.3746999999985</v>
      </c>
    </row>
    <row r="53" spans="1:15" ht="27" customHeight="1" x14ac:dyDescent="0.25">
      <c r="A53" s="27" t="s">
        <v>37</v>
      </c>
      <c r="B53" s="26" t="s">
        <v>62</v>
      </c>
      <c r="C53" s="9" t="s">
        <v>5</v>
      </c>
      <c r="D53" s="7" t="s">
        <v>53</v>
      </c>
      <c r="E53" s="8">
        <v>117</v>
      </c>
      <c r="F53" s="8">
        <v>117</v>
      </c>
      <c r="G53" s="8">
        <v>125</v>
      </c>
      <c r="H53" s="8">
        <v>125</v>
      </c>
      <c r="I53" s="8">
        <v>125</v>
      </c>
    </row>
    <row r="54" spans="1:15" ht="27" customHeight="1" x14ac:dyDescent="0.25">
      <c r="A54" s="27"/>
      <c r="B54" s="26"/>
      <c r="C54" s="9" t="s">
        <v>6</v>
      </c>
      <c r="D54" s="7" t="s">
        <v>7</v>
      </c>
      <c r="E54" s="7">
        <v>2865.7</v>
      </c>
      <c r="F54" s="7">
        <v>5582.4</v>
      </c>
      <c r="G54" s="7">
        <f>51.76748*G53</f>
        <v>6470.9349999999995</v>
      </c>
      <c r="H54" s="7">
        <f>53.07848*H53</f>
        <v>6634.8099999999995</v>
      </c>
      <c r="I54" s="7">
        <f>54.60448*I53</f>
        <v>6825.56</v>
      </c>
    </row>
    <row r="55" spans="1:15" ht="27" customHeight="1" x14ac:dyDescent="0.25">
      <c r="A55" s="27" t="s">
        <v>38</v>
      </c>
      <c r="B55" s="26" t="s">
        <v>63</v>
      </c>
      <c r="C55" s="9" t="s">
        <v>5</v>
      </c>
      <c r="D55" s="7" t="s">
        <v>53</v>
      </c>
      <c r="E55" s="8">
        <v>53</v>
      </c>
      <c r="F55" s="8">
        <v>60</v>
      </c>
      <c r="G55" s="8">
        <v>49</v>
      </c>
      <c r="H55" s="8">
        <v>49</v>
      </c>
      <c r="I55" s="8">
        <v>49</v>
      </c>
    </row>
    <row r="56" spans="1:15" ht="27" customHeight="1" x14ac:dyDescent="0.25">
      <c r="A56" s="27"/>
      <c r="B56" s="26"/>
      <c r="C56" s="9" t="s">
        <v>6</v>
      </c>
      <c r="D56" s="7" t="s">
        <v>7</v>
      </c>
      <c r="E56" s="7">
        <v>4949</v>
      </c>
      <c r="F56" s="7">
        <v>8400.7000000000007</v>
      </c>
      <c r="G56" s="7">
        <f>162.23262*G55</f>
        <v>7949.3983799999996</v>
      </c>
      <c r="H56" s="7">
        <f>166.51862*H55</f>
        <v>8159.4123799999998</v>
      </c>
      <c r="I56" s="7">
        <f>171.13762*I55</f>
        <v>8385.7433799999999</v>
      </c>
      <c r="J56" s="16">
        <f>E38+E40+E42+E44+E46+E48+E50+E52+E54+E56</f>
        <v>59557.100000000006</v>
      </c>
      <c r="K56" s="16">
        <f t="shared" ref="K56:N56" si="3">F38+F40+F42+F44+F46+F48+F50+F52+F54+F56</f>
        <v>58119.162530000001</v>
      </c>
      <c r="L56" s="16">
        <f t="shared" si="3"/>
        <v>66749.271080000006</v>
      </c>
      <c r="M56" s="16">
        <f t="shared" si="3"/>
        <v>68330.355079999994</v>
      </c>
      <c r="N56" s="16">
        <f t="shared" si="3"/>
        <v>70107.344079999995</v>
      </c>
      <c r="O56" s="16"/>
    </row>
    <row r="57" spans="1:15" ht="27" customHeight="1" x14ac:dyDescent="0.25">
      <c r="A57" s="27" t="s">
        <v>39</v>
      </c>
      <c r="B57" s="26" t="s">
        <v>69</v>
      </c>
      <c r="C57" s="9" t="s">
        <v>5</v>
      </c>
      <c r="D57" s="7" t="s">
        <v>53</v>
      </c>
      <c r="E57" s="8">
        <v>30</v>
      </c>
      <c r="F57" s="8">
        <v>44</v>
      </c>
      <c r="G57" s="8">
        <v>27</v>
      </c>
      <c r="H57" s="8">
        <v>27</v>
      </c>
      <c r="I57" s="8">
        <v>27</v>
      </c>
    </row>
    <row r="58" spans="1:15" ht="27" customHeight="1" x14ac:dyDescent="0.25">
      <c r="A58" s="27"/>
      <c r="B58" s="26"/>
      <c r="C58" s="9" t="s">
        <v>6</v>
      </c>
      <c r="D58" s="7" t="s">
        <v>7</v>
      </c>
      <c r="E58" s="7">
        <v>1436.5</v>
      </c>
      <c r="F58" s="7">
        <v>1902.3</v>
      </c>
      <c r="G58" s="7">
        <f>65.24902*G57</f>
        <v>1761.72354</v>
      </c>
      <c r="H58" s="7">
        <f>77.88502*H57</f>
        <v>2102.89554</v>
      </c>
      <c r="I58" s="7">
        <f>77.20202*I57</f>
        <v>2084.4545400000002</v>
      </c>
    </row>
    <row r="59" spans="1:15" ht="27" customHeight="1" x14ac:dyDescent="0.25">
      <c r="A59" s="27" t="s">
        <v>40</v>
      </c>
      <c r="B59" s="26" t="s">
        <v>70</v>
      </c>
      <c r="C59" s="9" t="s">
        <v>5</v>
      </c>
      <c r="D59" s="7" t="s">
        <v>53</v>
      </c>
      <c r="E59" s="8">
        <v>32</v>
      </c>
      <c r="F59" s="8">
        <v>14</v>
      </c>
      <c r="G59" s="8">
        <v>11</v>
      </c>
      <c r="H59" s="8">
        <v>11</v>
      </c>
      <c r="I59" s="8">
        <v>11</v>
      </c>
    </row>
    <row r="60" spans="1:15" ht="27" customHeight="1" x14ac:dyDescent="0.25">
      <c r="A60" s="27"/>
      <c r="B60" s="26"/>
      <c r="C60" s="9" t="s">
        <v>6</v>
      </c>
      <c r="D60" s="7" t="s">
        <v>7</v>
      </c>
      <c r="E60" s="7">
        <v>3567.7</v>
      </c>
      <c r="F60" s="7">
        <v>1605.7</v>
      </c>
      <c r="G60" s="7">
        <f>147.81404*G59</f>
        <v>1625.95444</v>
      </c>
      <c r="H60" s="7">
        <f>162.55304*H59</f>
        <v>1788.0834400000001</v>
      </c>
      <c r="I60" s="7">
        <f>160.72004*I59</f>
        <v>1767.9204400000001</v>
      </c>
      <c r="K60" s="16"/>
    </row>
    <row r="61" spans="1:15" ht="27" customHeight="1" x14ac:dyDescent="0.25">
      <c r="A61" s="27" t="s">
        <v>41</v>
      </c>
      <c r="B61" s="26" t="s">
        <v>71</v>
      </c>
      <c r="C61" s="9" t="s">
        <v>5</v>
      </c>
      <c r="D61" s="7" t="s">
        <v>53</v>
      </c>
      <c r="E61" s="8">
        <v>42</v>
      </c>
      <c r="F61" s="8">
        <v>69</v>
      </c>
      <c r="G61" s="8">
        <v>71</v>
      </c>
      <c r="H61" s="8">
        <v>71</v>
      </c>
      <c r="I61" s="8">
        <v>71</v>
      </c>
    </row>
    <row r="62" spans="1:15" ht="27" customHeight="1" x14ac:dyDescent="0.25">
      <c r="A62" s="27"/>
      <c r="B62" s="26"/>
      <c r="C62" s="9" t="s">
        <v>6</v>
      </c>
      <c r="D62" s="7" t="s">
        <v>7</v>
      </c>
      <c r="E62" s="7">
        <v>1090.7</v>
      </c>
      <c r="F62" s="7">
        <v>3567.2</v>
      </c>
      <c r="G62" s="7">
        <f>61.61582*G61</f>
        <v>4374.7232199999999</v>
      </c>
      <c r="H62" s="7">
        <f>64.64882*H61</f>
        <v>4590.0662199999997</v>
      </c>
      <c r="I62" s="7">
        <f>63.96782*I61</f>
        <v>4541.71522</v>
      </c>
    </row>
    <row r="63" spans="1:15" ht="27" customHeight="1" x14ac:dyDescent="0.25">
      <c r="A63" s="27" t="s">
        <v>64</v>
      </c>
      <c r="B63" s="26" t="s">
        <v>72</v>
      </c>
      <c r="C63" s="9" t="s">
        <v>5</v>
      </c>
      <c r="D63" s="7" t="s">
        <v>53</v>
      </c>
      <c r="E63" s="8">
        <v>65</v>
      </c>
      <c r="F63" s="8">
        <v>53</v>
      </c>
      <c r="G63" s="8">
        <v>49</v>
      </c>
      <c r="H63" s="8">
        <v>49</v>
      </c>
      <c r="I63" s="8">
        <v>49</v>
      </c>
    </row>
    <row r="64" spans="1:15" ht="27" customHeight="1" x14ac:dyDescent="0.25">
      <c r="A64" s="27"/>
      <c r="B64" s="26"/>
      <c r="C64" s="9" t="s">
        <v>6</v>
      </c>
      <c r="D64" s="7" t="s">
        <v>7</v>
      </c>
      <c r="E64" s="7">
        <v>9675.1</v>
      </c>
      <c r="F64" s="7">
        <v>7463</v>
      </c>
      <c r="G64" s="7">
        <f>160.61942*G63</f>
        <v>7870.3515799999996</v>
      </c>
      <c r="H64" s="7">
        <f>165.68642*H63</f>
        <v>8118.6345799999999</v>
      </c>
      <c r="I64" s="7">
        <f>163.62942*I63</f>
        <v>8017.8415800000002</v>
      </c>
    </row>
    <row r="65" spans="1:14" ht="27" customHeight="1" x14ac:dyDescent="0.25">
      <c r="A65" s="27" t="s">
        <v>65</v>
      </c>
      <c r="B65" s="26" t="s">
        <v>73</v>
      </c>
      <c r="C65" s="9" t="s">
        <v>5</v>
      </c>
      <c r="D65" s="7" t="s">
        <v>53</v>
      </c>
      <c r="E65" s="8">
        <v>105</v>
      </c>
      <c r="F65" s="8">
        <v>91</v>
      </c>
      <c r="G65" s="8">
        <v>79</v>
      </c>
      <c r="H65" s="8">
        <v>79</v>
      </c>
      <c r="I65" s="8">
        <v>79</v>
      </c>
    </row>
    <row r="66" spans="1:14" ht="27" customHeight="1" x14ac:dyDescent="0.25">
      <c r="A66" s="27"/>
      <c r="B66" s="26"/>
      <c r="C66" s="9" t="s">
        <v>6</v>
      </c>
      <c r="D66" s="7" t="s">
        <v>7</v>
      </c>
      <c r="E66" s="7">
        <v>4738.2</v>
      </c>
      <c r="F66" s="7">
        <f>3984.2-0.11374</f>
        <v>3984.08626</v>
      </c>
      <c r="G66" s="7">
        <f>55.7481*G65-0.01375</f>
        <v>4404.0861500000001</v>
      </c>
      <c r="H66" s="7">
        <f>59.0441*H65-9.89575</f>
        <v>4654.5881500000005</v>
      </c>
      <c r="I66" s="7">
        <f>58.4581*I65-0.07175</f>
        <v>4618.1181500000002</v>
      </c>
    </row>
    <row r="67" spans="1:14" ht="27" customHeight="1" x14ac:dyDescent="0.25">
      <c r="A67" s="27" t="s">
        <v>66</v>
      </c>
      <c r="B67" s="26" t="s">
        <v>74</v>
      </c>
      <c r="C67" s="9" t="s">
        <v>5</v>
      </c>
      <c r="D67" s="7" t="s">
        <v>53</v>
      </c>
      <c r="E67" s="8">
        <v>57</v>
      </c>
      <c r="F67" s="8">
        <v>77</v>
      </c>
      <c r="G67" s="8">
        <v>99</v>
      </c>
      <c r="H67" s="8">
        <v>99</v>
      </c>
      <c r="I67" s="8">
        <v>99</v>
      </c>
    </row>
    <row r="68" spans="1:14" ht="27" customHeight="1" x14ac:dyDescent="0.25">
      <c r="A68" s="27"/>
      <c r="B68" s="26"/>
      <c r="C68" s="9" t="s">
        <v>6</v>
      </c>
      <c r="D68" s="7" t="s">
        <v>7</v>
      </c>
      <c r="E68" s="7">
        <f>4430.9+31.6+16.35</f>
        <v>4478.8500000000004</v>
      </c>
      <c r="F68" s="7">
        <f>7318.4+0.11</f>
        <v>7318.5099999999993</v>
      </c>
      <c r="G68" s="7">
        <f>97.32641*G67</f>
        <v>9635.31459</v>
      </c>
      <c r="H68" s="7">
        <f>100.93541*H67</f>
        <v>9992.605590000001</v>
      </c>
      <c r="I68" s="7">
        <f>99.76541*I67</f>
        <v>9876.7755900000011</v>
      </c>
      <c r="J68" s="16">
        <f>E58+E60+E62+E64+E66+E68</f>
        <v>24987.050000000003</v>
      </c>
      <c r="K68" s="16">
        <f t="shared" ref="K68:N68" si="4">F58+F60+F62+F64+F66+F68</f>
        <v>25840.796259999999</v>
      </c>
      <c r="L68" s="16">
        <f t="shared" si="4"/>
        <v>29672.15352</v>
      </c>
      <c r="M68" s="16">
        <f t="shared" si="4"/>
        <v>31246.873520000001</v>
      </c>
      <c r="N68" s="16">
        <f t="shared" si="4"/>
        <v>30906.825520000002</v>
      </c>
    </row>
    <row r="69" spans="1:14" ht="27" customHeight="1" x14ac:dyDescent="0.25">
      <c r="A69" s="27" t="s">
        <v>67</v>
      </c>
      <c r="B69" s="26" t="s">
        <v>51</v>
      </c>
      <c r="C69" s="9" t="s">
        <v>5</v>
      </c>
      <c r="D69" s="7" t="s">
        <v>68</v>
      </c>
      <c r="E69" s="8">
        <v>4446</v>
      </c>
      <c r="F69" s="8">
        <v>4914</v>
      </c>
      <c r="G69" s="8">
        <v>4914</v>
      </c>
      <c r="H69" s="8">
        <v>4914</v>
      </c>
      <c r="I69" s="8">
        <v>4914</v>
      </c>
    </row>
    <row r="70" spans="1:14" ht="27" customHeight="1" x14ac:dyDescent="0.25">
      <c r="A70" s="27"/>
      <c r="B70" s="26"/>
      <c r="C70" s="9" t="s">
        <v>6</v>
      </c>
      <c r="D70" s="7" t="s">
        <v>7</v>
      </c>
      <c r="E70" s="7">
        <v>11035.3</v>
      </c>
      <c r="F70" s="7">
        <f>6372.3+0.044</f>
        <v>6372.3440000000001</v>
      </c>
      <c r="G70" s="7">
        <f>6772.8-0.035</f>
        <v>6772.7650000000003</v>
      </c>
      <c r="H70" s="7">
        <f>6867.97-0.005</f>
        <v>6867.9650000000001</v>
      </c>
      <c r="I70" s="7">
        <f>7107.64+0.008</f>
        <v>7107.6480000000001</v>
      </c>
      <c r="J70" s="16">
        <f>E70</f>
        <v>11035.3</v>
      </c>
      <c r="K70" s="16">
        <f t="shared" ref="K70:N70" si="5">F70</f>
        <v>6372.3440000000001</v>
      </c>
      <c r="L70" s="16">
        <f t="shared" si="5"/>
        <v>6772.7650000000003</v>
      </c>
      <c r="M70" s="16">
        <f t="shared" si="5"/>
        <v>6867.9650000000001</v>
      </c>
      <c r="N70" s="16">
        <f t="shared" si="5"/>
        <v>7107.6480000000001</v>
      </c>
    </row>
    <row r="71" spans="1:14" ht="53.1" customHeight="1" x14ac:dyDescent="0.25">
      <c r="A71" s="10"/>
      <c r="B71" s="11" t="s">
        <v>15</v>
      </c>
      <c r="C71" s="12" t="s">
        <v>10</v>
      </c>
      <c r="D71" s="13" t="s">
        <v>11</v>
      </c>
      <c r="E71" s="14">
        <f>+E8+E10+E18+E12+E14+E16+E20+E22+E24+E28+E30+E32+E34+E36+E38+E40+E42+E44+E46+E48+E50+E52+E54+E56+E58+E60+E62+E64+E66+E68+E70</f>
        <v>134885.35</v>
      </c>
      <c r="F71" s="14">
        <f>+F8+F10+F18+F12+F14+F16+F20+F22+F24+F28+F30+F32+F34+F36+F38+F40+F42+F44+F46+F48+F50+F52+F54+F56+F58+F60+F62+F64+F66+F68+F70+F26</f>
        <v>148474.51699999999</v>
      </c>
      <c r="G71" s="14">
        <f t="shared" ref="G71:I71" si="6">+G8+G10+G18+G12+G14+G16+G20+G22+G24+G28+G30+G32+G34+G36+G38+G40+G42+G44+G46+G48+G50+G52+G54+G56+G58+G60+G62+G64+G66+G68+G70+G26</f>
        <v>165328.02660000001</v>
      </c>
      <c r="H71" s="14">
        <f t="shared" si="6"/>
        <v>170062.01759999996</v>
      </c>
      <c r="I71" s="14">
        <f t="shared" si="6"/>
        <v>173063.35559999998</v>
      </c>
      <c r="K71" s="15"/>
    </row>
    <row r="75" spans="1:14" x14ac:dyDescent="0.25">
      <c r="B75" s="2" t="s">
        <v>85</v>
      </c>
      <c r="E75" s="2">
        <v>2020</v>
      </c>
      <c r="F75" s="2">
        <v>2021</v>
      </c>
      <c r="G75" s="2">
        <v>2022</v>
      </c>
      <c r="H75" s="2">
        <v>2023</v>
      </c>
      <c r="I75" s="2">
        <v>2024</v>
      </c>
    </row>
    <row r="76" spans="1:14" x14ac:dyDescent="0.25">
      <c r="B76" s="2" t="s">
        <v>81</v>
      </c>
      <c r="E76" s="18">
        <v>150220869.22999999</v>
      </c>
      <c r="F76" s="18">
        <v>197991348.09</v>
      </c>
      <c r="G76" s="18">
        <f>165289385.79+8081778.81</f>
        <v>173371164.59999999</v>
      </c>
      <c r="H76" s="18">
        <f>168353293.79+8081778.81</f>
        <v>176435072.59999999</v>
      </c>
      <c r="I76" s="18">
        <f>171354631.79+8081778.81</f>
        <v>179436410.59999999</v>
      </c>
    </row>
    <row r="77" spans="1:14" x14ac:dyDescent="0.25">
      <c r="B77" s="2" t="s">
        <v>82</v>
      </c>
      <c r="E77" s="18">
        <v>2644403</v>
      </c>
      <c r="F77" s="18">
        <v>3170615</v>
      </c>
      <c r="G77" s="18">
        <v>3199620</v>
      </c>
      <c r="H77" s="18">
        <v>3199620</v>
      </c>
      <c r="I77" s="18">
        <v>3199620</v>
      </c>
    </row>
    <row r="78" spans="1:14" x14ac:dyDescent="0.25">
      <c r="B78" s="2" t="s">
        <v>83</v>
      </c>
      <c r="E78" s="18">
        <v>150202</v>
      </c>
      <c r="F78" s="18">
        <v>161193</v>
      </c>
      <c r="G78" s="18">
        <v>159361</v>
      </c>
      <c r="H78" s="18">
        <v>159361</v>
      </c>
      <c r="I78" s="18">
        <v>159361</v>
      </c>
    </row>
    <row r="79" spans="1:14" x14ac:dyDescent="0.25">
      <c r="B79" s="2" t="s">
        <v>84</v>
      </c>
      <c r="E79" s="18">
        <v>738677</v>
      </c>
      <c r="F79" s="18">
        <v>746214</v>
      </c>
      <c r="G79" s="18">
        <v>731139</v>
      </c>
      <c r="H79" s="18">
        <v>731139</v>
      </c>
      <c r="I79" s="18">
        <v>731139</v>
      </c>
    </row>
    <row r="80" spans="1:14" x14ac:dyDescent="0.25">
      <c r="B80" s="2" t="s">
        <v>87</v>
      </c>
      <c r="E80" s="18">
        <v>11802224.960000001</v>
      </c>
      <c r="F80" s="18">
        <v>45438809.090000004</v>
      </c>
      <c r="G80" s="18">
        <v>3953018</v>
      </c>
      <c r="H80" s="18">
        <v>2282935</v>
      </c>
      <c r="I80" s="18">
        <v>2282935</v>
      </c>
    </row>
    <row r="81" spans="2:14" x14ac:dyDescent="0.25">
      <c r="B81" s="2" t="s">
        <v>97</v>
      </c>
      <c r="E81" s="18">
        <v>16.399999999999999</v>
      </c>
      <c r="F81" s="18"/>
      <c r="G81" s="18"/>
      <c r="H81" s="18"/>
      <c r="I81" s="18"/>
    </row>
    <row r="82" spans="2:14" x14ac:dyDescent="0.25">
      <c r="B82" s="2" t="s">
        <v>86</v>
      </c>
      <c r="E82" s="19">
        <f>E76-E77-E78-E79-E80-E81</f>
        <v>134885345.86999997</v>
      </c>
      <c r="F82" s="19">
        <f>F76-F77-F78-F79-F80</f>
        <v>148474517</v>
      </c>
      <c r="G82" s="19">
        <f>G76-G77-G78-G79-G80</f>
        <v>165328026.59999999</v>
      </c>
      <c r="H82" s="19">
        <f>H76-H77-H78-H79-H80</f>
        <v>170062017.59999999</v>
      </c>
      <c r="I82" s="19">
        <f t="shared" ref="I82" si="7">I76-I77-I78-I79-I80</f>
        <v>173063355.59999999</v>
      </c>
    </row>
    <row r="84" spans="2:14" x14ac:dyDescent="0.25">
      <c r="E84" s="18">
        <f>E82/1000-E71</f>
        <v>-4.1300000448245555E-3</v>
      </c>
      <c r="F84" s="18">
        <f t="shared" ref="F84:I84" si="8">F82/1000-F71</f>
        <v>0</v>
      </c>
      <c r="G84" s="18">
        <f t="shared" si="8"/>
        <v>0</v>
      </c>
      <c r="H84" s="18">
        <f t="shared" si="8"/>
        <v>0</v>
      </c>
      <c r="I84" s="18">
        <f t="shared" si="8"/>
        <v>0</v>
      </c>
    </row>
    <row r="85" spans="2:14" x14ac:dyDescent="0.25">
      <c r="E85" s="18"/>
    </row>
    <row r="86" spans="2:14" x14ac:dyDescent="0.25">
      <c r="D86" s="2" t="s">
        <v>98</v>
      </c>
      <c r="E86" s="18"/>
      <c r="F86" s="18">
        <f>52539478-F77</f>
        <v>49368863</v>
      </c>
      <c r="G86" s="18">
        <f>45978480+8500767-G77</f>
        <v>51279627</v>
      </c>
      <c r="H86" s="18">
        <f>47748416+7981354-H77</f>
        <v>52530150</v>
      </c>
      <c r="I86" s="18">
        <f>49374088+7441077-I77</f>
        <v>53615545</v>
      </c>
      <c r="K86" s="2">
        <f>F86/1000-K26</f>
        <v>0</v>
      </c>
      <c r="L86" s="2">
        <f t="shared" ref="L86:N86" si="9">G86/1000-L26</f>
        <v>0</v>
      </c>
      <c r="M86" s="2">
        <f t="shared" si="9"/>
        <v>0</v>
      </c>
      <c r="N86" s="2">
        <f t="shared" si="9"/>
        <v>0</v>
      </c>
    </row>
    <row r="87" spans="2:14" x14ac:dyDescent="0.25">
      <c r="E87" s="18"/>
      <c r="F87" s="18">
        <v>2824643.21</v>
      </c>
      <c r="G87" s="18">
        <v>4250000</v>
      </c>
      <c r="H87" s="18">
        <v>4250000</v>
      </c>
      <c r="I87" s="18">
        <v>4250000</v>
      </c>
      <c r="K87" s="2">
        <f>F87/1000-K18</f>
        <v>0</v>
      </c>
      <c r="L87" s="2">
        <f>G87/1000-L18</f>
        <v>0</v>
      </c>
      <c r="M87" s="2">
        <f>H87/1000-M18</f>
        <v>0</v>
      </c>
      <c r="N87" s="2">
        <f t="shared" ref="N87" si="10">I87/1000-N18</f>
        <v>0</v>
      </c>
    </row>
    <row r="88" spans="2:14" x14ac:dyDescent="0.25">
      <c r="D88" s="2" t="s">
        <v>99</v>
      </c>
      <c r="F88" s="18">
        <f>58280355.53-F78</f>
        <v>58119162.530000001</v>
      </c>
      <c r="G88" s="18">
        <f>60910988+5997644.08-G78</f>
        <v>66749271.079999998</v>
      </c>
      <c r="H88" s="18">
        <f>62492072+5997644.08-H78</f>
        <v>68330355.079999998</v>
      </c>
      <c r="I88" s="18">
        <f>64269061+5997644.08-I78</f>
        <v>70107344.079999998</v>
      </c>
      <c r="K88" s="2">
        <f>F88/1000-K56</f>
        <v>0</v>
      </c>
      <c r="L88" s="2">
        <f t="shared" ref="L88:N88" si="11">G88/1000-L56</f>
        <v>0</v>
      </c>
      <c r="M88" s="2">
        <f t="shared" si="11"/>
        <v>0</v>
      </c>
      <c r="N88" s="2">
        <f t="shared" si="11"/>
        <v>0</v>
      </c>
    </row>
    <row r="89" spans="2:14" x14ac:dyDescent="0.25">
      <c r="D89" s="2" t="s">
        <v>100</v>
      </c>
      <c r="F89" s="18">
        <f>26587010.26-F79</f>
        <v>25840796.260000002</v>
      </c>
      <c r="G89" s="18">
        <f>2509491.52+27893801-G79</f>
        <v>29672153.52</v>
      </c>
      <c r="H89" s="18">
        <f>2509491.52+29468521-H79</f>
        <v>31246873.52</v>
      </c>
      <c r="I89" s="18">
        <f>2509491.52+29128473-I79</f>
        <v>30906825.52</v>
      </c>
      <c r="K89" s="2">
        <f>F89/1000-K68</f>
        <v>0</v>
      </c>
      <c r="L89" s="2">
        <f t="shared" ref="L89:N89" si="12">G89/1000-L68</f>
        <v>0</v>
      </c>
      <c r="M89" s="2">
        <f t="shared" si="12"/>
        <v>0</v>
      </c>
      <c r="N89" s="2">
        <f t="shared" si="12"/>
        <v>0</v>
      </c>
    </row>
    <row r="90" spans="2:14" x14ac:dyDescent="0.25">
      <c r="F90" s="18">
        <f>6091144+281200</f>
        <v>6372344</v>
      </c>
      <c r="G90" s="18">
        <v>6772765</v>
      </c>
      <c r="H90" s="18">
        <v>6867965</v>
      </c>
      <c r="I90" s="18">
        <v>7107648</v>
      </c>
      <c r="K90" s="2">
        <f>F90/1000-K70</f>
        <v>0</v>
      </c>
      <c r="L90" s="2">
        <f t="shared" ref="L90:N90" si="13">G90/1000-L70</f>
        <v>0</v>
      </c>
      <c r="M90" s="2">
        <f t="shared" si="13"/>
        <v>0</v>
      </c>
      <c r="N90" s="2">
        <f t="shared" si="13"/>
        <v>0</v>
      </c>
    </row>
    <row r="91" spans="2:14" x14ac:dyDescent="0.25">
      <c r="D91" s="2" t="s">
        <v>101</v>
      </c>
      <c r="F91" s="18">
        <f>5948708</f>
        <v>5948708</v>
      </c>
      <c r="G91" s="2">
        <f>6604210</f>
        <v>6604210</v>
      </c>
      <c r="H91" s="2">
        <f>6836674</f>
        <v>6836674</v>
      </c>
      <c r="I91" s="2">
        <f>7075993</f>
        <v>7075993</v>
      </c>
      <c r="K91" s="2">
        <f>F91/1000-K36</f>
        <v>0</v>
      </c>
      <c r="L91" s="2">
        <f t="shared" ref="L91:N91" si="14">G91/1000-L36</f>
        <v>0</v>
      </c>
      <c r="M91" s="2">
        <f t="shared" si="14"/>
        <v>0</v>
      </c>
      <c r="N91" s="2">
        <f t="shared" si="14"/>
        <v>0</v>
      </c>
    </row>
    <row r="92" spans="2:14" x14ac:dyDescent="0.25">
      <c r="F92" s="18">
        <f>SUM(F86:F91)</f>
        <v>148474517</v>
      </c>
      <c r="G92" s="18">
        <f>SUM(G86:G91)</f>
        <v>165328026.59999999</v>
      </c>
      <c r="H92" s="18">
        <f>SUM(H86:H91)</f>
        <v>170062017.59999999</v>
      </c>
      <c r="I92" s="18">
        <f>SUM(I86:I91)</f>
        <v>173063355.59999999</v>
      </c>
    </row>
    <row r="94" spans="2:14" x14ac:dyDescent="0.25">
      <c r="F94" s="18">
        <f>F82-F92</f>
        <v>0</v>
      </c>
      <c r="G94" s="18">
        <f t="shared" ref="G94:I94" si="15">G82-G92</f>
        <v>0</v>
      </c>
      <c r="H94" s="18">
        <f t="shared" si="15"/>
        <v>0</v>
      </c>
      <c r="I94" s="18">
        <f t="shared" si="15"/>
        <v>0</v>
      </c>
    </row>
  </sheetData>
  <autoFilter ref="A5:J5"/>
  <mergeCells count="75">
    <mergeCell ref="A11:A12"/>
    <mergeCell ref="B11:B12"/>
    <mergeCell ref="H1:I1"/>
    <mergeCell ref="B2:I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A7:A8"/>
    <mergeCell ref="B7:B8"/>
    <mergeCell ref="A9:A10"/>
    <mergeCell ref="B9:B10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57:A58"/>
    <mergeCell ref="B57:B58"/>
    <mergeCell ref="A59:A60"/>
    <mergeCell ref="B59:B60"/>
    <mergeCell ref="A67:A68"/>
    <mergeCell ref="B67:B68"/>
    <mergeCell ref="A69:A70"/>
    <mergeCell ref="B69:B70"/>
    <mergeCell ref="A61:A62"/>
    <mergeCell ref="B61:B62"/>
    <mergeCell ref="A63:A64"/>
    <mergeCell ref="B63:B64"/>
    <mergeCell ref="A65:A66"/>
    <mergeCell ref="B65:B66"/>
  </mergeCells>
  <printOptions gridLines="1"/>
  <pageMargins left="0.70833333333333304" right="0.70833333333333304" top="0.31527777777777799" bottom="0.74791666666666701" header="0.51180555555555496" footer="0.51180555555555496"/>
  <pageSetup paperSize="9" scale="62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КФиС</vt:lpstr>
      <vt:lpstr>КФиС с проверкой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Юрьевна Базась</dc:creator>
  <cp:lastModifiedBy>4</cp:lastModifiedBy>
  <cp:revision>1</cp:revision>
  <cp:lastPrinted>2021-12-28T07:07:36Z</cp:lastPrinted>
  <dcterms:created xsi:type="dcterms:W3CDTF">2016-05-19T18:04:28Z</dcterms:created>
  <dcterms:modified xsi:type="dcterms:W3CDTF">2021-12-28T07:20:32Z</dcterms:modified>
</cp:coreProperties>
</file>