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4" yWindow="-14" windowWidth="14522" windowHeight="12145"/>
  </bookViews>
  <sheets>
    <sheet name="УО" sheetId="1" r:id="rId1"/>
  </sheets>
  <definedNames>
    <definedName name="_xlnm._FilterDatabase" localSheetId="0" hidden="1">УО!$A$5:$I$147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74" i="1" l="1"/>
  <c r="I55" i="1"/>
  <c r="F55" i="1"/>
  <c r="G55" i="1"/>
  <c r="H55" i="1"/>
  <c r="E55" i="1"/>
  <c r="F45" i="1"/>
  <c r="G45" i="1"/>
  <c r="H45" i="1"/>
  <c r="I45" i="1"/>
  <c r="E45" i="1"/>
  <c r="I143" i="1"/>
  <c r="I120" i="1"/>
  <c r="I118" i="1"/>
  <c r="I115" i="1"/>
  <c r="I96" i="1"/>
  <c r="I103" i="1"/>
  <c r="I94" i="1"/>
  <c r="I92" i="1"/>
  <c r="I86" i="1"/>
  <c r="I90" i="1"/>
  <c r="I84" i="1"/>
  <c r="I78" i="1"/>
  <c r="I76" i="1"/>
  <c r="I73" i="1"/>
  <c r="I59" i="1"/>
  <c r="I61" i="1"/>
  <c r="I69" i="1"/>
  <c r="I57" i="1"/>
  <c r="H118" i="1"/>
  <c r="H115" i="1"/>
  <c r="H103" i="1" l="1"/>
  <c r="H86" i="1"/>
  <c r="H90" i="1"/>
  <c r="H92" i="1"/>
  <c r="H94" i="1"/>
  <c r="H96" i="1"/>
  <c r="H84" i="1"/>
  <c r="H80" i="1"/>
  <c r="H76" i="1"/>
  <c r="H73" i="1"/>
  <c r="H65" i="1"/>
  <c r="H69" i="1"/>
  <c r="H61" i="1"/>
  <c r="H59" i="1"/>
  <c r="H57" i="1"/>
  <c r="G118" i="1" l="1"/>
  <c r="G115" i="1"/>
  <c r="G101" i="1"/>
  <c r="I101" i="1"/>
  <c r="E101" i="1"/>
  <c r="F101" i="1"/>
  <c r="G103" i="1" l="1"/>
  <c r="G100" i="1"/>
  <c r="G96" i="1"/>
  <c r="G94" i="1"/>
  <c r="G92" i="1"/>
  <c r="G98" i="1"/>
  <c r="G90" i="1"/>
  <c r="G88" i="1"/>
  <c r="G86" i="1"/>
  <c r="G80" i="1"/>
  <c r="G76" i="1"/>
  <c r="G74" i="1"/>
  <c r="H74" i="1"/>
  <c r="I74" i="1"/>
  <c r="G73" i="1"/>
  <c r="G69" i="1"/>
  <c r="G63" i="1"/>
  <c r="G61" i="1"/>
  <c r="G59" i="1"/>
  <c r="G57" i="1"/>
  <c r="F111" i="1" l="1"/>
  <c r="F109" i="1"/>
  <c r="F105" i="1"/>
  <c r="F103" i="1"/>
  <c r="F100" i="1"/>
  <c r="F98" i="1"/>
  <c r="F96" i="1"/>
  <c r="F94" i="1"/>
  <c r="F92" i="1"/>
  <c r="F90" i="1"/>
  <c r="F88" i="1"/>
  <c r="F86" i="1"/>
  <c r="F84" i="1"/>
  <c r="F82" i="1"/>
  <c r="F80" i="1"/>
  <c r="F78" i="1"/>
  <c r="F76" i="1"/>
  <c r="F73" i="1"/>
  <c r="F71" i="1"/>
  <c r="F69" i="1"/>
  <c r="F67" i="1"/>
  <c r="F65" i="1"/>
  <c r="F63" i="1"/>
  <c r="F61" i="1"/>
  <c r="F59" i="1"/>
  <c r="F57" i="1"/>
  <c r="I133" i="1"/>
  <c r="I145" i="1" l="1"/>
  <c r="I141" i="1"/>
  <c r="I139" i="1"/>
  <c r="H139" i="1"/>
  <c r="H141" i="1"/>
  <c r="H143" i="1"/>
  <c r="H145" i="1"/>
  <c r="H133" i="1"/>
  <c r="F133" i="1" l="1"/>
  <c r="G133" i="1"/>
  <c r="G143" i="1" l="1"/>
  <c r="G145" i="1"/>
  <c r="G141" i="1"/>
  <c r="G139" i="1"/>
  <c r="F137" i="1" l="1"/>
  <c r="F135" i="1"/>
  <c r="I130" i="1" l="1"/>
  <c r="I128" i="1"/>
  <c r="I126" i="1"/>
  <c r="I124" i="1"/>
  <c r="I122" i="1"/>
  <c r="H130" i="1" l="1"/>
  <c r="H128" i="1"/>
  <c r="H126" i="1"/>
  <c r="H124" i="1"/>
  <c r="H122" i="1"/>
  <c r="H120" i="1"/>
  <c r="G130" i="1"/>
  <c r="G128" i="1"/>
  <c r="G126" i="1"/>
  <c r="G124" i="1"/>
  <c r="G122" i="1"/>
  <c r="G120" i="1"/>
  <c r="F131" i="1" l="1"/>
  <c r="F130" i="1"/>
  <c r="F128" i="1"/>
  <c r="F126" i="1"/>
  <c r="F124" i="1"/>
  <c r="F122" i="1"/>
  <c r="F120" i="1"/>
  <c r="I135" i="1"/>
  <c r="I137" i="1"/>
  <c r="H137" i="1"/>
  <c r="H135" i="1"/>
  <c r="H147" i="1" s="1"/>
  <c r="I147" i="1" l="1"/>
  <c r="G137" i="1"/>
  <c r="G135" i="1"/>
  <c r="G147" i="1" s="1"/>
  <c r="G131" i="1" l="1"/>
  <c r="H131" i="1"/>
  <c r="I131" i="1"/>
  <c r="E131" i="1"/>
  <c r="F145" i="1" l="1"/>
  <c r="F143" i="1"/>
  <c r="F141" i="1"/>
  <c r="F139" i="1"/>
  <c r="F147" i="1" s="1"/>
  <c r="E143" i="1" l="1"/>
  <c r="E141" i="1"/>
  <c r="E139" i="1"/>
  <c r="E145" i="1"/>
  <c r="E137" i="1"/>
  <c r="E135" i="1"/>
  <c r="E133" i="1"/>
  <c r="E126" i="1" l="1"/>
  <c r="E124" i="1"/>
  <c r="E122" i="1"/>
  <c r="E128" i="1"/>
  <c r="E120" i="1"/>
  <c r="E112" i="1" l="1"/>
  <c r="F112" i="1"/>
  <c r="E98" i="1"/>
  <c r="F44" i="1" l="1"/>
  <c r="G44" i="1"/>
  <c r="H44" i="1"/>
  <c r="I44" i="1"/>
  <c r="E44" i="1" l="1"/>
  <c r="E54" i="1"/>
  <c r="E65" i="1" l="1"/>
  <c r="E118" i="1" l="1"/>
  <c r="E115" i="1"/>
  <c r="E111" i="1"/>
  <c r="E107" i="1"/>
  <c r="E105" i="1"/>
  <c r="E103" i="1"/>
  <c r="E96" i="1"/>
  <c r="E94" i="1"/>
  <c r="E92" i="1"/>
  <c r="E90" i="1"/>
  <c r="E88" i="1" l="1"/>
  <c r="E86" i="1"/>
  <c r="E84" i="1"/>
  <c r="E82" i="1"/>
  <c r="E80" i="1"/>
  <c r="E78" i="1"/>
  <c r="E76" i="1"/>
  <c r="E73" i="1"/>
  <c r="E71" i="1"/>
  <c r="E69" i="1"/>
  <c r="E67" i="1"/>
  <c r="E63" i="1"/>
  <c r="E61" i="1"/>
  <c r="E59" i="1"/>
  <c r="E57" i="1"/>
  <c r="E147" i="1" s="1"/>
  <c r="G112" i="1" l="1"/>
  <c r="H112" i="1"/>
  <c r="I112" i="1"/>
  <c r="I113" i="1" s="1"/>
  <c r="F74" i="1"/>
  <c r="F113" i="1" s="1"/>
  <c r="E113" i="1" l="1"/>
  <c r="I54" i="1"/>
  <c r="H54" i="1"/>
  <c r="G54" i="1"/>
  <c r="F54" i="1"/>
  <c r="G113" i="1" l="1"/>
  <c r="I146" i="1"/>
  <c r="G146" i="1" l="1"/>
  <c r="F146" i="1"/>
  <c r="H146" i="1"/>
  <c r="E146" i="1"/>
  <c r="H101" i="1"/>
  <c r="H113" i="1" s="1"/>
</calcChain>
</file>

<file path=xl/comments1.xml><?xml version="1.0" encoding="utf-8"?>
<comments xmlns="http://schemas.openxmlformats.org/spreadsheetml/2006/main">
  <authors>
    <author>User</author>
    <author>Автор</author>
  </authors>
  <commentList>
    <comment ref="B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грудн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ясли общер</t>
        </r>
      </text>
    </comment>
    <comment ref="B12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сад общеразвив
</t>
        </r>
      </text>
    </comment>
    <comment ref="B14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общеразвив 14 час
</t>
        </r>
      </text>
    </comment>
    <comment ref="B16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6-ти дневная
</t>
        </r>
      </text>
    </comment>
    <comment ref="B18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ясли оздор
</t>
        </r>
      </text>
    </comment>
    <comment ref="B20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сад оздор
</t>
        </r>
      </text>
    </comment>
    <comment ref="B22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комбинир
</t>
        </r>
      </text>
    </comment>
    <comment ref="B24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комбинир 14-час
</t>
        </r>
      </text>
    </comment>
    <comment ref="B26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компенсир
</t>
        </r>
      </text>
    </comment>
    <comment ref="B28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инвалиды ДОУ ясли
</t>
        </r>
      </text>
    </comment>
    <comment ref="B30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инвалиды ДОУ сад (общ., оздор. и комбин)
</t>
        </r>
      </text>
    </comment>
    <comment ref="B32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инвалиды 14-ти час
</t>
        </r>
      </text>
    </comment>
    <comment ref="B3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инв компен</t>
        </r>
      </text>
    </comment>
    <comment ref="B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дому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дому компенсация</t>
        </r>
      </text>
    </comment>
    <comment ref="B4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логопункт
</t>
        </r>
      </text>
    </comment>
    <comment ref="B4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User:
</t>
        </r>
        <r>
          <rPr>
            <sz val="9"/>
            <color indexed="81"/>
            <rFont val="Tahoma"/>
            <family val="2"/>
            <charset val="204"/>
          </rPr>
          <t>ЦИПР и КЦ</t>
        </r>
      </text>
    </comment>
    <comment ref="B46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все дети, кроме инв и сирот</t>
        </r>
      </text>
    </comment>
    <comment ref="B48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 часовая</t>
        </r>
      </text>
    </comment>
    <comment ref="B50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инвалиды</t>
        </r>
      </text>
    </comment>
    <comment ref="B52" authorId="1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сироты</t>
        </r>
      </text>
    </comment>
  </commentList>
</comments>
</file>

<file path=xl/sharedStrings.xml><?xml version="1.0" encoding="utf-8"?>
<sst xmlns="http://schemas.openxmlformats.org/spreadsheetml/2006/main" count="418" uniqueCount="167">
  <si>
    <t>№ п/п</t>
  </si>
  <si>
    <t xml:space="preserve">Наименование показателя
</t>
  </si>
  <si>
    <t>Единица измерения</t>
  </si>
  <si>
    <t>План на 2022 год</t>
  </si>
  <si>
    <t>1.1</t>
  </si>
  <si>
    <t>Объем субсидий на финансовое обеспечение оказания государственных услуг (выполнения работы)</t>
  </si>
  <si>
    <t>тыс. руб.</t>
  </si>
  <si>
    <t>1.2</t>
  </si>
  <si>
    <t>1.3</t>
  </si>
  <si>
    <t>Объем средств на финансовое обеспечение оказания соответствующей государственной услуги (выполнения работы)</t>
  </si>
  <si>
    <t>тыс. рублей</t>
  </si>
  <si>
    <t>План на 2023 год</t>
  </si>
  <si>
    <t>Наименование муниципальной услуги (работы)</t>
  </si>
  <si>
    <t>Управление образования Администрации города Апатиты</t>
  </si>
  <si>
    <t>Итого объем финансового обеспечения оказания государственных услуг (работ) по Управлению образования Администрации города Апатиты</t>
  </si>
  <si>
    <t>Реализация основных общеобразовательных программ дошкольного образования 801011О.99.0.БВ24ВС02000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</si>
  <si>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</si>
  <si>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</si>
  <si>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</si>
  <si>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</si>
  <si>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</si>
  <si>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</si>
  <si>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</si>
  <si>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</si>
  <si>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</si>
  <si>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</si>
  <si>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</si>
  <si>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</si>
  <si>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</si>
  <si>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</si>
  <si>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Реализация основных общеобразовательных программ дошкольного образования 801011О.99.0.БВ24ВТ22000</t>
  </si>
  <si>
    <t>Реализация основных общеобразовательных программ дошкольного образования 801011О.99.0.БВ24ВУ42000</t>
  </si>
  <si>
    <t>Реализация основных общеобразовательных программ дошкольного образования 801011О.99.0.БВ24ВУ43000</t>
  </si>
  <si>
    <t>Реализация основных общеобразовательных программ дошкольного образования 801011О.99.0.БВ24ВЩ42000</t>
  </si>
  <si>
    <t>Реализация основных общеобразовательных программ дошкольного образования 801011О.99.0.БВ24ВЭ62000</t>
  </si>
  <si>
    <t>Реализация основных общеобразовательных программ дошкольного образования 801011О.99.0.БВ24ДН82000</t>
  </si>
  <si>
    <t>Реализация основных общеобразовательных программ дошкольного образования 801011О.99.0.БВ24БТ62000</t>
  </si>
  <si>
    <t>Реализация основных общеобразовательных программ дошкольного образования 801011О.99.0.БВ24ГГ62000</t>
  </si>
  <si>
    <t>Реализация основных общеобразовательных программ дошкольного образования 801011О.99.0.БВ24ГД82000</t>
  </si>
  <si>
    <t>Реализация основных общеобразовательных программ дошкольного образования 801011О.99.0.БВ24АК62000</t>
  </si>
  <si>
    <t>Реализация основных общеобразовательных программ дошкольного образования 801011О.99.0.БВ24АТ22000</t>
  </si>
  <si>
    <t>Присмотр и уход 853212О.99.0.БВ23АГ14000</t>
  </si>
  <si>
    <t>Присмотр и уход 853212О.99.0.БВ23АГ15000</t>
  </si>
  <si>
    <t>Присмотр и уход 853211О.99.0.БВ19АА20000</t>
  </si>
  <si>
    <t>Присмотр и уход 853211О.99.0.БВ19АБ04000</t>
  </si>
  <si>
    <t>1.18</t>
  </si>
  <si>
    <t>1.19</t>
  </si>
  <si>
    <t>1.20</t>
  </si>
  <si>
    <t>1.21</t>
  </si>
  <si>
    <t>1.22</t>
  </si>
  <si>
    <t>1.23</t>
  </si>
  <si>
    <t>Реализация основных общеобразовательных программ начального общего образования 801012О.99.0.БА81АЭ92001</t>
  </si>
  <si>
    <t>Реализация основных общеобразовательных программ начального общего образования 801012О.99.0.БА81АП40001</t>
  </si>
  <si>
    <t>Реализация основных общеобразовательных программ начального общего образования 801012О.99.0.БА81АА00001</t>
  </si>
  <si>
    <t>Реализация основных общеобразовательных программ основного общего образования 802111О.99.0.БА96АЮ58001</t>
  </si>
  <si>
    <t>Реализация основных общеобразовательных программ основного общего образования 802111О.99.0.БА96АП76001</t>
  </si>
  <si>
    <t>Реализация основных общеобразовательных программ основного общего образования 802111О.99.0.БА96АА00001</t>
  </si>
  <si>
    <t>Реализация основных общеобразовательных программ среднего общего образования 802112О.99.0.ББ11АП76001</t>
  </si>
  <si>
    <t>Предоставление питания 560200О.99.0.БА89АА00000</t>
  </si>
  <si>
    <t>ИТОГО школы</t>
  </si>
  <si>
    <t>1.24</t>
  </si>
  <si>
    <t>1.25</t>
  </si>
  <si>
    <t>1.26</t>
  </si>
  <si>
    <t>1.27</t>
  </si>
  <si>
    <t>1.28</t>
  </si>
  <si>
    <t>1.29</t>
  </si>
  <si>
    <t>1.30</t>
  </si>
  <si>
    <t>1.31</t>
  </si>
  <si>
    <t>Содержание (эксплуатация) имущества 04.0028Р49068320000001</t>
  </si>
  <si>
    <t>Организация перевозок пассажиров на маршрутах наземного городского и (или) пригородного и (или) междугородного и (или) межмуниципального пассажирского транспорта общего пользования 01.0015Р49049310000001</t>
  </si>
  <si>
    <t>Тысяча квадратных метров</t>
  </si>
  <si>
    <t>штука</t>
  </si>
  <si>
    <t xml:space="preserve">Эксплуатируемая площадь, всего, в т.ч. зданий прилегающей территории </t>
  </si>
  <si>
    <t>Количество рейсов</t>
  </si>
  <si>
    <t>1.32</t>
  </si>
  <si>
    <t>1.33</t>
  </si>
  <si>
    <t>1.34</t>
  </si>
  <si>
    <t>1.35</t>
  </si>
  <si>
    <t>Количество объектов учета (регистров)</t>
  </si>
  <si>
    <t xml:space="preserve">единица </t>
  </si>
  <si>
    <t>Количество воспитаников</t>
  </si>
  <si>
    <t>чел.</t>
  </si>
  <si>
    <t>чел</t>
  </si>
  <si>
    <t>Количество обучающихся</t>
  </si>
  <si>
    <t xml:space="preserve">Количество человеко-часов </t>
  </si>
  <si>
    <t>Человеко-час</t>
  </si>
  <si>
    <t>Количество проведенных мероприятий</t>
  </si>
  <si>
    <t>Реализация основных общеобразовательных программ дошкольного образования 801011О.99.0.БВ24АТ02000</t>
  </si>
  <si>
    <t>Реализация основных общеобразовательных программ дошкольного образования 801011О.99.0.БВ24ДХ02000</t>
  </si>
  <si>
    <t>Реализация дополнительных общеразвивающих программ 804200О.99.0.ББ52АЕ76000</t>
  </si>
  <si>
    <t>Реализация дополнительных общеразвивающих программ 804200О.99.0.ББ52АЖ24000</t>
  </si>
  <si>
    <t>Реализация дополнительных общеразвивающих программ 804200О.99.0.ББ52АЕ52000</t>
  </si>
  <si>
    <t>Реализация дополнительных общеразвивающих программ 804200О.99.0.ББ52АЕ28000</t>
  </si>
  <si>
    <t>Реализация дополнительных общеразвивающих программ 804200О.99.0.ББ52АЕ04000</t>
  </si>
  <si>
    <t>ИТОГО почие</t>
  </si>
  <si>
    <t>1.36</t>
  </si>
  <si>
    <t>1.37</t>
  </si>
  <si>
    <t>1.38</t>
  </si>
  <si>
    <t>1.39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</si>
  <si>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823011.P.54.1.01010001001</t>
  </si>
  <si>
    <t>ИТОГО ПРИСМОТР И УХОД</t>
  </si>
  <si>
    <t>ИТОГО НАЧАЛЬНОЕ ОБРАЗОВАНИЕ</t>
  </si>
  <si>
    <t>ИТОГО ОСНОВНОЕ ОБЩЕЕ ОБРАЗОВАНИЕ</t>
  </si>
  <si>
    <t>ИТОГО СРЕДНЕЕ ОБЩЕЕ ОБРАЗОВАНИЕ</t>
  </si>
  <si>
    <t>ИТОГО СОШ</t>
  </si>
  <si>
    <t>ИТОГО ДОПОЛНИТЕЛЬНОЕ ОБРАЗОВАНИЕ</t>
  </si>
  <si>
    <t>Сведения о планируемых на 2022 год и на плановый период 2023 и 2024 годов объемах оказания муниципальных услуг (работ) муниципальными  учреждениями, подведомственными Управлению образования Администрации города Апатиты, а также о планируемых объемах их финансового обеспечения в сравнении с ожидаемым исполнением за 2021 год и отчетом за 2020 год</t>
  </si>
  <si>
    <t>Факт за 2020 год</t>
  </si>
  <si>
    <t>Оценка за 2021 год</t>
  </si>
  <si>
    <t>План на 2024 год</t>
  </si>
  <si>
    <t>ИТОГО ДОШКОЛЬНОЕ ОБРАЗОВАНИЕ</t>
  </si>
  <si>
    <t>Реализация основных общеобразовательных программ начального общего образования 801012О.99.0.БА81АЮ16001</t>
  </si>
  <si>
    <t>Реализация основных общеобразовательных программ начального общего образования 801012О.99.0.БА81АЩ72001</t>
  </si>
  <si>
    <t>Реализация основных общеобразовательных программ начального общего образования 801012О.99.0.БА81АЮ40001</t>
  </si>
  <si>
    <t>Реализация основных общеобразовательных программ начального общего образования 801012О.99.0.БА81АЦ60001</t>
  </si>
  <si>
    <t>Реализация основных общеобразовательных программ начального общего образования 801012О.99.0.БА81АА24001</t>
  </si>
  <si>
    <t>Реализация основных общеобразовательных программ начального общего образования 801012О.99.0.БА81АБ68001</t>
  </si>
  <si>
    <t>Реализация основных общеобразовательных программ основного общего образования 802111О.99.0.БА96АЮ83001</t>
  </si>
  <si>
    <t>Реализация основных общеобразовательных программ основного общего образования 802111О.99.0.БА96АЭ33001</t>
  </si>
  <si>
    <t>Реализация основных общеобразовательных программ основного общего образования 802111О.99.0.БА96АЯ08001</t>
  </si>
  <si>
    <t>Реализация основных общеобразовательных программ основного общего образования 802111О.99.0.БА96АЧ08001</t>
  </si>
  <si>
    <t>Реализация основных общеобразовательных программ основного общего образования 8802111О.99.0.БА96АР01001</t>
  </si>
  <si>
    <t>Реализация основных общеобразовательных программ основного общего образования 802111О.99.0.БА96АО51001</t>
  </si>
  <si>
    <t>Реализация основных общеобразовательных программ основного общего образования 802111О.99.0.БА96АА25001</t>
  </si>
  <si>
    <t>Реализация основных общеобразовательных программ основного общего образования 802111О.99.0.БА96АБ75001</t>
  </si>
  <si>
    <t>Реализация основных общеобразовательных программ основного общего образования 802111О.99.0.БА96АЛ26001</t>
  </si>
  <si>
    <t>Реализация основных общеобразовательных программ среднего общего образования 802112О.99.0.ББ11АР01001</t>
  </si>
  <si>
    <t>Реализация основных общеобразовательных программ среднего общего образования 802112О.99.0.ББ11АО51001</t>
  </si>
  <si>
    <t>Реализация основных общеобразовательных программ среднего общего образования 802112О.99.0.ББ11АЛ26001</t>
  </si>
  <si>
    <t>1.40</t>
  </si>
  <si>
    <t>1.41</t>
  </si>
  <si>
    <t>1.42</t>
  </si>
  <si>
    <t>1.43</t>
  </si>
  <si>
    <t>Предоставление питания 562920.Р.54.0.01120001002</t>
  </si>
  <si>
    <t>Коррекционно-развивающая, компенсирующая и логопедическая помощь обучающимся 853212О.99.0.БВ22АА00001</t>
  </si>
  <si>
    <t>Психолого-педагогическое консультирование обучающихся, их родителей (законных представителей) и педагогических работников 853212О.99.0.БВ21АА00003</t>
  </si>
  <si>
    <t>Реализация основных общеобразовательных программ дошкольного образования 801011О.99.0.БВ24ДН83000</t>
  </si>
  <si>
    <t>Реализация основных общеобразовательных программ дошкольного образования 801011О.99.0.БВ24ГД83000</t>
  </si>
  <si>
    <t>Реализация основных общеобразовательных программ среднего общего образования 802112О.99.0.ББ11АР26001</t>
  </si>
  <si>
    <t>Реализация основных общеобразовательных программ основного общего образования 802111О.99.0.БА96АГ00000</t>
  </si>
  <si>
    <t>Реализация дополнительных общеразвивающих программ 801012О.99.0.ББ57АЖ00000</t>
  </si>
  <si>
    <t>Ведение бухгалтерского учета бюджетными учреждениями, формирование регистров бухгалтерского учета 692021.P.54.1.23010001001</t>
  </si>
  <si>
    <t>Ведение бухгалтерского учета автономными учреждениями, формирование регистров бухгалтерского учета 692021.P.54.1.23020001001</t>
  </si>
  <si>
    <t>Формирование бюджетной отчетности для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692021.P.54.1.23060001001</t>
  </si>
  <si>
    <t>Формирование финансовой (бухгалтерской) отчетности бюджетных и автономных учреждений 692021.P.54.1.23050001001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</si>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</sst>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\-??\ _₽_-;_-@_-"/>
    <numFmt numFmtId="165" formatCode="_-* #,##0.00_р_._-;\-* #,##0.00_р_._-;_-* \-??_р_._-;_-@_-"/>
    <numFmt numFmtId="166" formatCode="#,##0.0"/>
  </numFmts>
  <fonts count="17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rgb="FFFFFFCC"/>
      </patternFill>
    </fill>
    <fill>
      <patternFill patternType="solid">
        <fgColor rgb="FFFF0000"/>
        <bgColor rgb="FFFFFFCC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5" fillId="0" borderId="0" applyBorder="0" applyAlignment="0" applyProtection="0"/>
    <xf numFmtId="165" fontId="5" fillId="0" borderId="0" applyBorder="0" applyAlignment="0" applyProtection="0"/>
    <xf numFmtId="164" fontId="5" fillId="0" borderId="0" applyBorder="0" applyAlignment="0" applyProtection="0"/>
  </cellStyleXfs>
  <cellXfs count="6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3" fillId="7" borderId="0" xfId="0" applyFont="1" applyFill="1"/>
    <xf numFmtId="0" fontId="0" fillId="7" borderId="0" xfId="0" applyFill="1"/>
    <xf numFmtId="0" fontId="8" fillId="7" borderId="0" xfId="0" applyFont="1" applyFill="1"/>
    <xf numFmtId="0" fontId="9" fillId="7" borderId="0" xfId="0" applyFont="1" applyFill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3" borderId="2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top"/>
    </xf>
    <xf numFmtId="1" fontId="11" fillId="3" borderId="2" xfId="0" applyNumberFormat="1" applyFont="1" applyFill="1" applyBorder="1" applyAlignment="1">
      <alignment vertical="top" wrapText="1"/>
    </xf>
    <xf numFmtId="166" fontId="10" fillId="4" borderId="2" xfId="0" applyNumberFormat="1" applyFont="1" applyFill="1" applyBorder="1" applyAlignment="1">
      <alignment horizontal="left" vertical="top" wrapText="1"/>
    </xf>
    <xf numFmtId="166" fontId="10" fillId="4" borderId="2" xfId="0" applyNumberFormat="1" applyFont="1" applyFill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166" fontId="11" fillId="4" borderId="2" xfId="0" applyNumberFormat="1" applyFont="1" applyFill="1" applyBorder="1" applyAlignment="1">
      <alignment horizontal="left" vertical="center" wrapText="1"/>
    </xf>
    <xf numFmtId="166" fontId="11" fillId="4" borderId="2" xfId="0" applyNumberFormat="1" applyFont="1" applyFill="1" applyBorder="1" applyAlignment="1">
      <alignment horizontal="left" vertical="top" wrapText="1"/>
    </xf>
    <xf numFmtId="166" fontId="11" fillId="4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166" fontId="10" fillId="6" borderId="2" xfId="0" applyNumberFormat="1" applyFont="1" applyFill="1" applyBorder="1" applyAlignment="1">
      <alignment horizontal="left" vertical="top" wrapText="1"/>
    </xf>
    <xf numFmtId="166" fontId="10" fillId="6" borderId="2" xfId="0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166" fontId="11" fillId="8" borderId="2" xfId="0" applyNumberFormat="1" applyFont="1" applyFill="1" applyBorder="1" applyAlignment="1">
      <alignment horizontal="center" vertical="center" wrapText="1"/>
    </xf>
    <xf numFmtId="4" fontId="11" fillId="8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6" fontId="11" fillId="4" borderId="5" xfId="0" applyNumberFormat="1" applyFont="1" applyFill="1" applyBorder="1" applyAlignment="1">
      <alignment horizontal="left" vertical="center" wrapText="1"/>
    </xf>
    <xf numFmtId="0" fontId="12" fillId="7" borderId="0" xfId="0" applyFont="1" applyFill="1" applyAlignment="1">
      <alignment horizontal="center" vertical="center"/>
    </xf>
    <xf numFmtId="0" fontId="12" fillId="7" borderId="0" xfId="0" applyFont="1" applyFill="1"/>
    <xf numFmtId="4" fontId="12" fillId="7" borderId="0" xfId="0" applyNumberFormat="1" applyFont="1" applyFill="1"/>
    <xf numFmtId="4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horizontal="center" vertical="center" wrapText="1"/>
    </xf>
    <xf numFmtId="166" fontId="10" fillId="6" borderId="4" xfId="0" applyNumberFormat="1" applyFont="1" applyFill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166" fontId="11" fillId="5" borderId="2" xfId="0" applyNumberFormat="1" applyFont="1" applyFill="1" applyBorder="1" applyAlignment="1">
      <alignment vertical="center" wrapText="1"/>
    </xf>
    <xf numFmtId="166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center" wrapText="1"/>
    </xf>
    <xf numFmtId="4" fontId="10" fillId="5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5" fillId="9" borderId="0" xfId="0" applyFont="1" applyFill="1"/>
    <xf numFmtId="0" fontId="16" fillId="9" borderId="0" xfId="0" applyFont="1" applyFill="1"/>
    <xf numFmtId="0" fontId="3" fillId="0" borderId="0" xfId="0" applyFont="1" applyFill="1" applyBorder="1"/>
    <xf numFmtId="166" fontId="10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 wrapText="1"/>
    </xf>
    <xf numFmtId="166" fontId="10" fillId="4" borderId="3" xfId="0" applyNumberFormat="1" applyFont="1" applyFill="1" applyBorder="1" applyAlignment="1">
      <alignment horizontal="left" vertical="center" wrapText="1"/>
    </xf>
    <xf numFmtId="166" fontId="10" fillId="4" borderId="4" xfId="0" applyNumberFormat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0" fillId="4" borderId="2" xfId="0" applyNumberFormat="1" applyFont="1" applyFill="1" applyBorder="1" applyAlignment="1">
      <alignment horizontal="left" vertical="center" wrapText="1"/>
    </xf>
    <xf numFmtId="166" fontId="11" fillId="8" borderId="3" xfId="0" applyNumberFormat="1" applyFont="1" applyFill="1" applyBorder="1" applyAlignment="1">
      <alignment horizontal="left" vertical="center" wrapText="1"/>
    </xf>
    <xf numFmtId="166" fontId="11" fillId="8" borderId="4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left" vertical="center" wrapText="1"/>
    </xf>
    <xf numFmtId="166" fontId="11" fillId="4" borderId="3" xfId="0" applyNumberFormat="1" applyFont="1" applyFill="1" applyBorder="1" applyAlignment="1">
      <alignment horizontal="left" vertical="center" wrapText="1"/>
    </xf>
    <xf numFmtId="166" fontId="11" fillId="4" borderId="4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left" vertical="center" wrapText="1"/>
    </xf>
    <xf numFmtId="166" fontId="10" fillId="0" borderId="4" xfId="0" applyNumberFormat="1" applyFont="1" applyFill="1" applyBorder="1" applyAlignment="1">
      <alignment horizontal="left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Финансовый 2" xfId="3"/>
    <cellStyle name="Финансовый 3" xfId="4"/>
    <cellStyle name="Финансовый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C153"/>
  <sheetViews>
    <sheetView tabSelected="1" zoomScale="70" zoomScaleNormal="70" workbookViewId="0">
      <pane xSplit="2" ySplit="6" topLeftCell="C46" activePane="bottomRight" state="frozen"/>
      <selection pane="topRight" activeCell="C1" sqref="C1"/>
      <selection pane="bottomLeft" activeCell="A882" sqref="A882"/>
      <selection pane="bottomRight" activeCell="H2" sqref="H2"/>
    </sheetView>
  </sheetViews>
  <sheetFormatPr defaultRowHeight="14.3" x14ac:dyDescent="0.25"/>
  <cols>
    <col min="1" max="1" width="11.375" style="1"/>
    <col min="2" max="2" width="50.75" style="2" customWidth="1"/>
    <col min="3" max="3" width="26.875" style="2" customWidth="1"/>
    <col min="4" max="4" width="11.875" style="2" customWidth="1"/>
    <col min="5" max="5" width="15.625" style="2" customWidth="1"/>
    <col min="6" max="6" width="17.125" style="2" customWidth="1"/>
    <col min="7" max="7" width="16" style="2" customWidth="1"/>
    <col min="8" max="8" width="15.875" style="2" customWidth="1"/>
    <col min="9" max="9" width="15.375" style="3" bestFit="1" customWidth="1"/>
    <col min="10" max="237" width="9.125" style="2" customWidth="1"/>
    <col min="238" max="1005" width="9.125" customWidth="1"/>
  </cols>
  <sheetData>
    <row r="1" spans="1:237" ht="15.65" x14ac:dyDescent="0.25">
      <c r="A1" s="9"/>
      <c r="B1" s="10"/>
      <c r="C1" s="10"/>
      <c r="D1" s="10"/>
      <c r="E1" s="10"/>
      <c r="F1" s="10"/>
      <c r="G1" s="10"/>
      <c r="H1" s="68" t="s">
        <v>166</v>
      </c>
      <c r="I1" s="68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</row>
    <row r="2" spans="1:237" ht="15.65" x14ac:dyDescent="0.25">
      <c r="A2" s="9"/>
      <c r="B2" s="10"/>
      <c r="C2" s="10"/>
      <c r="D2" s="10"/>
      <c r="E2" s="10"/>
      <c r="F2" s="10"/>
      <c r="G2" s="10"/>
      <c r="H2" s="10"/>
      <c r="I2" s="4"/>
    </row>
    <row r="3" spans="1:237" ht="51.8" customHeight="1" x14ac:dyDescent="0.25">
      <c r="A3" s="9"/>
      <c r="B3" s="52" t="s">
        <v>106</v>
      </c>
      <c r="C3" s="52"/>
      <c r="D3" s="52"/>
      <c r="E3" s="52"/>
      <c r="F3" s="52"/>
      <c r="G3" s="52"/>
      <c r="H3" s="52"/>
      <c r="I3" s="52"/>
    </row>
    <row r="4" spans="1:237" ht="15.65" x14ac:dyDescent="0.25">
      <c r="A4" s="9"/>
      <c r="B4" s="10"/>
      <c r="C4" s="10"/>
      <c r="D4" s="10"/>
      <c r="E4" s="10"/>
      <c r="F4" s="10"/>
      <c r="G4" s="10"/>
      <c r="H4" s="10"/>
      <c r="I4" s="10"/>
    </row>
    <row r="5" spans="1:237" ht="14.95" customHeight="1" x14ac:dyDescent="0.25">
      <c r="A5" s="53" t="s">
        <v>0</v>
      </c>
      <c r="B5" s="53" t="s">
        <v>12</v>
      </c>
      <c r="C5" s="53" t="s">
        <v>1</v>
      </c>
      <c r="D5" s="53" t="s">
        <v>2</v>
      </c>
      <c r="E5" s="53" t="s">
        <v>107</v>
      </c>
      <c r="F5" s="53" t="s">
        <v>108</v>
      </c>
      <c r="G5" s="53" t="s">
        <v>3</v>
      </c>
      <c r="H5" s="53" t="s">
        <v>11</v>
      </c>
      <c r="I5" s="53" t="s">
        <v>109</v>
      </c>
    </row>
    <row r="6" spans="1:237" ht="39.25" customHeight="1" x14ac:dyDescent="0.25">
      <c r="A6" s="53"/>
      <c r="B6" s="53"/>
      <c r="C6" s="53"/>
      <c r="D6" s="53"/>
      <c r="E6" s="53"/>
      <c r="F6" s="53"/>
      <c r="G6" s="53"/>
      <c r="H6" s="53"/>
      <c r="I6" s="53"/>
    </row>
    <row r="7" spans="1:237" ht="27" customHeight="1" x14ac:dyDescent="0.25">
      <c r="A7" s="11">
        <v>1</v>
      </c>
      <c r="B7" s="12" t="s">
        <v>13</v>
      </c>
      <c r="C7" s="11"/>
      <c r="D7" s="11"/>
      <c r="E7" s="11"/>
      <c r="F7" s="11"/>
      <c r="G7" s="11"/>
      <c r="H7" s="13"/>
      <c r="I7" s="14"/>
    </row>
    <row r="8" spans="1:237" ht="47.25" customHeight="1" x14ac:dyDescent="0.25">
      <c r="A8" s="49" t="s">
        <v>4</v>
      </c>
      <c r="B8" s="54" t="s">
        <v>15</v>
      </c>
      <c r="C8" s="15" t="s">
        <v>80</v>
      </c>
      <c r="D8" s="16" t="s">
        <v>81</v>
      </c>
      <c r="E8" s="16">
        <v>10.4</v>
      </c>
      <c r="F8" s="16"/>
      <c r="G8" s="16"/>
      <c r="H8" s="16"/>
      <c r="I8" s="16"/>
    </row>
    <row r="9" spans="1:237" ht="61.5" customHeight="1" x14ac:dyDescent="0.25">
      <c r="A9" s="49"/>
      <c r="B9" s="54"/>
      <c r="C9" s="15" t="s">
        <v>5</v>
      </c>
      <c r="D9" s="16" t="s">
        <v>6</v>
      </c>
      <c r="E9" s="17">
        <v>1172.3227899999999</v>
      </c>
      <c r="F9" s="17"/>
      <c r="G9" s="17"/>
      <c r="H9" s="17"/>
      <c r="I9" s="17"/>
    </row>
    <row r="10" spans="1:237" ht="47.25" customHeight="1" x14ac:dyDescent="0.25">
      <c r="A10" s="49" t="s">
        <v>7</v>
      </c>
      <c r="B10" s="54" t="s">
        <v>30</v>
      </c>
      <c r="C10" s="15" t="s">
        <v>80</v>
      </c>
      <c r="D10" s="16" t="s">
        <v>81</v>
      </c>
      <c r="E10" s="16">
        <v>724.2</v>
      </c>
      <c r="F10" s="16">
        <v>676.9</v>
      </c>
      <c r="G10" s="16">
        <v>647.79999999999995</v>
      </c>
      <c r="H10" s="16">
        <v>631</v>
      </c>
      <c r="I10" s="16">
        <v>631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</row>
    <row r="11" spans="1:237" ht="61.5" customHeight="1" x14ac:dyDescent="0.25">
      <c r="A11" s="49"/>
      <c r="B11" s="54"/>
      <c r="C11" s="15" t="s">
        <v>5</v>
      </c>
      <c r="D11" s="16" t="s">
        <v>6</v>
      </c>
      <c r="E11" s="17">
        <v>81780.315789999993</v>
      </c>
      <c r="F11" s="17">
        <v>90631.405239999993</v>
      </c>
      <c r="G11" s="17">
        <v>90450.846120000002</v>
      </c>
      <c r="H11" s="17">
        <v>89811.623630000002</v>
      </c>
      <c r="I11" s="17">
        <v>91931.37371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</row>
    <row r="12" spans="1:237" ht="47.25" customHeight="1" x14ac:dyDescent="0.25">
      <c r="A12" s="49" t="s">
        <v>8</v>
      </c>
      <c r="B12" s="54" t="s">
        <v>31</v>
      </c>
      <c r="C12" s="15" t="s">
        <v>80</v>
      </c>
      <c r="D12" s="16" t="s">
        <v>81</v>
      </c>
      <c r="E12" s="16">
        <v>1578.9</v>
      </c>
      <c r="F12" s="16">
        <v>1576.2</v>
      </c>
      <c r="G12" s="16">
        <v>1507</v>
      </c>
      <c r="H12" s="16">
        <v>1472</v>
      </c>
      <c r="I12" s="16">
        <v>1462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</row>
    <row r="13" spans="1:237" ht="61.5" customHeight="1" x14ac:dyDescent="0.25">
      <c r="A13" s="49"/>
      <c r="B13" s="54"/>
      <c r="C13" s="15" t="s">
        <v>5</v>
      </c>
      <c r="D13" s="16" t="s">
        <v>6</v>
      </c>
      <c r="E13" s="17">
        <v>178394.37471999999</v>
      </c>
      <c r="F13" s="17">
        <v>211896.54444999999</v>
      </c>
      <c r="G13" s="17">
        <v>210855.95788</v>
      </c>
      <c r="H13" s="17">
        <v>209993.45788999999</v>
      </c>
      <c r="I13" s="17">
        <v>213525.49924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</row>
    <row r="14" spans="1:237" ht="47.25" customHeight="1" x14ac:dyDescent="0.25">
      <c r="A14" s="49" t="s">
        <v>16</v>
      </c>
      <c r="B14" s="54" t="s">
        <v>32</v>
      </c>
      <c r="C14" s="15" t="s">
        <v>80</v>
      </c>
      <c r="D14" s="16" t="s">
        <v>81</v>
      </c>
      <c r="E14" s="16">
        <v>53.7</v>
      </c>
      <c r="F14" s="16">
        <v>22.4</v>
      </c>
      <c r="G14" s="16">
        <v>22.7</v>
      </c>
      <c r="H14" s="16">
        <v>20</v>
      </c>
      <c r="I14" s="16">
        <v>20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</row>
    <row r="15" spans="1:237" ht="61.5" customHeight="1" x14ac:dyDescent="0.25">
      <c r="A15" s="49"/>
      <c r="B15" s="54"/>
      <c r="C15" s="15" t="s">
        <v>5</v>
      </c>
      <c r="D15" s="16" t="s">
        <v>6</v>
      </c>
      <c r="E15" s="17">
        <v>6796.4424399999998</v>
      </c>
      <c r="F15" s="17">
        <v>3249.3221199999998</v>
      </c>
      <c r="G15" s="17">
        <v>3467.13967</v>
      </c>
      <c r="H15" s="17">
        <v>3116.80908</v>
      </c>
      <c r="I15" s="17">
        <v>3193.4477299999999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</row>
    <row r="16" spans="1:237" ht="47.25" customHeight="1" x14ac:dyDescent="0.25">
      <c r="A16" s="49" t="s">
        <v>17</v>
      </c>
      <c r="B16" s="54" t="s">
        <v>88</v>
      </c>
      <c r="C16" s="15" t="s">
        <v>80</v>
      </c>
      <c r="D16" s="16" t="s">
        <v>81</v>
      </c>
      <c r="E16" s="16">
        <v>5.5</v>
      </c>
      <c r="F16" s="16">
        <v>9.3000000000000007</v>
      </c>
      <c r="G16" s="16"/>
      <c r="H16" s="16"/>
      <c r="I16" s="16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</row>
    <row r="17" spans="1:237" ht="61.5" customHeight="1" x14ac:dyDescent="0.25">
      <c r="A17" s="49"/>
      <c r="B17" s="54"/>
      <c r="C17" s="15" t="s">
        <v>5</v>
      </c>
      <c r="D17" s="16" t="s">
        <v>6</v>
      </c>
      <c r="E17" s="17">
        <v>648.90679</v>
      </c>
      <c r="F17" s="17">
        <v>1346.08053</v>
      </c>
      <c r="G17" s="17"/>
      <c r="H17" s="17"/>
      <c r="I17" s="1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</row>
    <row r="18" spans="1:237" ht="47.25" customHeight="1" x14ac:dyDescent="0.25">
      <c r="A18" s="49" t="s">
        <v>18</v>
      </c>
      <c r="B18" s="54" t="s">
        <v>33</v>
      </c>
      <c r="C18" s="15" t="s">
        <v>80</v>
      </c>
      <c r="D18" s="16" t="s">
        <v>81</v>
      </c>
      <c r="E18" s="16">
        <v>94.5</v>
      </c>
      <c r="F18" s="16">
        <v>104.1</v>
      </c>
      <c r="G18" s="17">
        <v>90.6</v>
      </c>
      <c r="H18" s="16">
        <v>93.3</v>
      </c>
      <c r="I18" s="16">
        <v>90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</row>
    <row r="19" spans="1:237" ht="61.5" customHeight="1" x14ac:dyDescent="0.25">
      <c r="A19" s="49"/>
      <c r="B19" s="54"/>
      <c r="C19" s="15" t="s">
        <v>5</v>
      </c>
      <c r="D19" s="16" t="s">
        <v>6</v>
      </c>
      <c r="E19" s="17">
        <v>13451.541929999999</v>
      </c>
      <c r="F19" s="17">
        <v>17748.70319</v>
      </c>
      <c r="G19" s="16">
        <v>16137.9481</v>
      </c>
      <c r="H19" s="17">
        <v>16907.908800000001</v>
      </c>
      <c r="I19" s="17">
        <v>16711.937460000001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</row>
    <row r="20" spans="1:237" ht="47.25" customHeight="1" x14ac:dyDescent="0.25">
      <c r="A20" s="49" t="s">
        <v>19</v>
      </c>
      <c r="B20" s="54" t="s">
        <v>34</v>
      </c>
      <c r="C20" s="15" t="s">
        <v>80</v>
      </c>
      <c r="D20" s="16" t="s">
        <v>81</v>
      </c>
      <c r="E20" s="16">
        <v>218.1</v>
      </c>
      <c r="F20" s="16">
        <v>207.3</v>
      </c>
      <c r="G20" s="17">
        <v>198</v>
      </c>
      <c r="H20" s="16">
        <v>193.7</v>
      </c>
      <c r="I20" s="16">
        <v>193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</row>
    <row r="21" spans="1:237" ht="61.5" customHeight="1" x14ac:dyDescent="0.25">
      <c r="A21" s="49"/>
      <c r="B21" s="54"/>
      <c r="C21" s="15" t="s">
        <v>5</v>
      </c>
      <c r="D21" s="16" t="s">
        <v>6</v>
      </c>
      <c r="E21" s="17">
        <v>31122.755290000001</v>
      </c>
      <c r="F21" s="17">
        <v>35332.972070000003</v>
      </c>
      <c r="G21" s="16">
        <v>35184.697310000003</v>
      </c>
      <c r="H21" s="17">
        <v>35117.533759999998</v>
      </c>
      <c r="I21" s="17">
        <v>35856.676030000002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</row>
    <row r="22" spans="1:237" ht="47.25" customHeight="1" x14ac:dyDescent="0.25">
      <c r="A22" s="49" t="s">
        <v>20</v>
      </c>
      <c r="B22" s="54" t="s">
        <v>35</v>
      </c>
      <c r="C22" s="15" t="s">
        <v>80</v>
      </c>
      <c r="D22" s="16" t="s">
        <v>81</v>
      </c>
      <c r="E22" s="16">
        <v>44</v>
      </c>
      <c r="F22" s="16">
        <v>28.8</v>
      </c>
      <c r="G22" s="16">
        <v>40</v>
      </c>
      <c r="H22" s="16">
        <v>25</v>
      </c>
      <c r="I22" s="16">
        <v>25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</row>
    <row r="23" spans="1:237" ht="61.5" customHeight="1" x14ac:dyDescent="0.25">
      <c r="A23" s="49"/>
      <c r="B23" s="54"/>
      <c r="C23" s="15" t="s">
        <v>5</v>
      </c>
      <c r="D23" s="16" t="s">
        <v>6</v>
      </c>
      <c r="E23" s="17">
        <v>6303.1129600000004</v>
      </c>
      <c r="F23" s="17">
        <v>4926.1462199999996</v>
      </c>
      <c r="G23" s="17">
        <v>7137.3631999999998</v>
      </c>
      <c r="H23" s="17">
        <v>4571.9662799999996</v>
      </c>
      <c r="I23" s="17">
        <v>4683.6817899999996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</row>
    <row r="24" spans="1:237" ht="47.25" customHeight="1" x14ac:dyDescent="0.25">
      <c r="A24" s="49" t="s">
        <v>21</v>
      </c>
      <c r="B24" s="54" t="s">
        <v>136</v>
      </c>
      <c r="C24" s="15" t="s">
        <v>80</v>
      </c>
      <c r="D24" s="16" t="s">
        <v>81</v>
      </c>
      <c r="E24" s="16">
        <v>6.3</v>
      </c>
      <c r="F24" s="16">
        <v>17</v>
      </c>
      <c r="G24" s="16">
        <v>15</v>
      </c>
      <c r="H24" s="16">
        <v>15</v>
      </c>
      <c r="I24" s="16">
        <v>15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</row>
    <row r="25" spans="1:237" ht="61.5" customHeight="1" x14ac:dyDescent="0.25">
      <c r="A25" s="49"/>
      <c r="B25" s="54"/>
      <c r="C25" s="15" t="s">
        <v>5</v>
      </c>
      <c r="D25" s="16" t="s">
        <v>6</v>
      </c>
      <c r="E25" s="17">
        <v>994.84303</v>
      </c>
      <c r="F25" s="17">
        <v>3194.0433499999999</v>
      </c>
      <c r="G25" s="17">
        <v>2957.5207099999998</v>
      </c>
      <c r="H25" s="17">
        <v>3014.7645299999999</v>
      </c>
      <c r="I25" s="17">
        <v>3087.7795299999998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</row>
    <row r="26" spans="1:237" ht="47.25" customHeight="1" x14ac:dyDescent="0.25">
      <c r="A26" s="49" t="s">
        <v>22</v>
      </c>
      <c r="B26" s="54" t="s">
        <v>36</v>
      </c>
      <c r="C26" s="15" t="s">
        <v>80</v>
      </c>
      <c r="D26" s="16" t="s">
        <v>81</v>
      </c>
      <c r="E26" s="16">
        <v>393.3</v>
      </c>
      <c r="F26" s="16">
        <v>382.3</v>
      </c>
      <c r="G26" s="16">
        <v>365.3</v>
      </c>
      <c r="H26" s="16">
        <v>352.3</v>
      </c>
      <c r="I26" s="16">
        <v>372.3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</row>
    <row r="27" spans="1:237" ht="61.5" customHeight="1" x14ac:dyDescent="0.25">
      <c r="A27" s="49"/>
      <c r="B27" s="54"/>
      <c r="C27" s="15" t="s">
        <v>5</v>
      </c>
      <c r="D27" s="16" t="s">
        <v>6</v>
      </c>
      <c r="E27" s="17">
        <v>109727.41011</v>
      </c>
      <c r="F27" s="17">
        <v>124207.86878999999</v>
      </c>
      <c r="G27" s="17">
        <v>123845.39141</v>
      </c>
      <c r="H27" s="17">
        <v>121575.50419000001</v>
      </c>
      <c r="I27" s="17">
        <v>131479.38225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</row>
    <row r="28" spans="1:237" ht="47.25" customHeight="1" x14ac:dyDescent="0.25">
      <c r="A28" s="49" t="s">
        <v>23</v>
      </c>
      <c r="B28" s="54" t="s">
        <v>37</v>
      </c>
      <c r="C28" s="15" t="s">
        <v>80</v>
      </c>
      <c r="D28" s="16" t="s">
        <v>81</v>
      </c>
      <c r="E28" s="16">
        <v>3</v>
      </c>
      <c r="F28" s="16">
        <v>1.5</v>
      </c>
      <c r="G28" s="16"/>
      <c r="H28" s="16">
        <v>1</v>
      </c>
      <c r="I28" s="1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</row>
    <row r="29" spans="1:237" ht="61.5" customHeight="1" x14ac:dyDescent="0.25">
      <c r="A29" s="49"/>
      <c r="B29" s="54"/>
      <c r="C29" s="15" t="s">
        <v>5</v>
      </c>
      <c r="D29" s="16" t="s">
        <v>6</v>
      </c>
      <c r="E29" s="17">
        <v>342.41982999999999</v>
      </c>
      <c r="F29" s="17">
        <v>196.86211</v>
      </c>
      <c r="G29" s="17"/>
      <c r="H29" s="17">
        <v>141.14752999999999</v>
      </c>
      <c r="I29" s="17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</row>
    <row r="30" spans="1:237" ht="47.25" customHeight="1" x14ac:dyDescent="0.25">
      <c r="A30" s="49" t="s">
        <v>24</v>
      </c>
      <c r="B30" s="54" t="s">
        <v>38</v>
      </c>
      <c r="C30" s="15" t="s">
        <v>80</v>
      </c>
      <c r="D30" s="16" t="s">
        <v>81</v>
      </c>
      <c r="E30" s="16">
        <v>7.4</v>
      </c>
      <c r="F30" s="16">
        <v>9.4</v>
      </c>
      <c r="G30" s="16">
        <v>5.7</v>
      </c>
      <c r="H30" s="16">
        <v>4</v>
      </c>
      <c r="I30" s="16">
        <v>4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</row>
    <row r="31" spans="1:237" ht="61.5" customHeight="1" x14ac:dyDescent="0.25">
      <c r="A31" s="49"/>
      <c r="B31" s="54"/>
      <c r="C31" s="15" t="s">
        <v>5</v>
      </c>
      <c r="D31" s="16" t="s">
        <v>6</v>
      </c>
      <c r="E31" s="17">
        <v>901.22274000000004</v>
      </c>
      <c r="F31" s="17">
        <v>1373.4671499999999</v>
      </c>
      <c r="G31" s="17">
        <v>830.91432999999995</v>
      </c>
      <c r="H31" s="17">
        <v>606.79704000000004</v>
      </c>
      <c r="I31" s="17">
        <v>621.39928999999995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</row>
    <row r="32" spans="1:237" ht="47.25" customHeight="1" x14ac:dyDescent="0.25">
      <c r="A32" s="49" t="s">
        <v>25</v>
      </c>
      <c r="B32" s="54" t="s">
        <v>137</v>
      </c>
      <c r="C32" s="15" t="s">
        <v>80</v>
      </c>
      <c r="D32" s="16" t="s">
        <v>81</v>
      </c>
      <c r="E32" s="16">
        <v>0.3</v>
      </c>
      <c r="F32" s="16">
        <v>1.3</v>
      </c>
      <c r="G32" s="16">
        <v>0.7</v>
      </c>
      <c r="H32" s="16"/>
      <c r="I32" s="1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</row>
    <row r="33" spans="1:237" ht="61.5" customHeight="1" x14ac:dyDescent="0.25">
      <c r="A33" s="49"/>
      <c r="B33" s="54"/>
      <c r="C33" s="15" t="s">
        <v>5</v>
      </c>
      <c r="D33" s="16" t="s">
        <v>6</v>
      </c>
      <c r="E33" s="17">
        <v>47.373480000000001</v>
      </c>
      <c r="F33" s="17">
        <v>244.25006999999999</v>
      </c>
      <c r="G33" s="17">
        <v>138.01793000000001</v>
      </c>
      <c r="H33" s="17"/>
      <c r="I33" s="17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</row>
    <row r="34" spans="1:237" ht="47.25" customHeight="1" x14ac:dyDescent="0.25">
      <c r="A34" s="49" t="s">
        <v>26</v>
      </c>
      <c r="B34" s="54" t="s">
        <v>39</v>
      </c>
      <c r="C34" s="15" t="s">
        <v>80</v>
      </c>
      <c r="D34" s="16" t="s">
        <v>81</v>
      </c>
      <c r="E34" s="16">
        <v>41.1</v>
      </c>
      <c r="F34" s="16">
        <v>41.2</v>
      </c>
      <c r="G34" s="16">
        <v>36</v>
      </c>
      <c r="H34" s="16">
        <v>33.700000000000003</v>
      </c>
      <c r="I34" s="16">
        <v>33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</row>
    <row r="35" spans="1:237" ht="61.5" customHeight="1" x14ac:dyDescent="0.25">
      <c r="A35" s="49"/>
      <c r="B35" s="54"/>
      <c r="C35" s="15" t="s">
        <v>5</v>
      </c>
      <c r="D35" s="16" t="s">
        <v>6</v>
      </c>
      <c r="E35" s="17">
        <v>13849.456550000001</v>
      </c>
      <c r="F35" s="17">
        <v>16318.39689</v>
      </c>
      <c r="G35" s="17">
        <v>15431.662679999999</v>
      </c>
      <c r="H35" s="17">
        <v>14656.41073</v>
      </c>
      <c r="I35" s="17">
        <v>14761.962729999999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</row>
    <row r="36" spans="1:237" ht="47.25" customHeight="1" x14ac:dyDescent="0.25">
      <c r="A36" s="49" t="s">
        <v>27</v>
      </c>
      <c r="B36" s="54" t="s">
        <v>87</v>
      </c>
      <c r="C36" s="15" t="s">
        <v>80</v>
      </c>
      <c r="D36" s="16" t="s">
        <v>81</v>
      </c>
      <c r="E36" s="16">
        <v>2</v>
      </c>
      <c r="F36" s="16">
        <v>1.7</v>
      </c>
      <c r="G36" s="16">
        <v>1</v>
      </c>
      <c r="H36" s="16">
        <v>1</v>
      </c>
      <c r="I36" s="16">
        <v>1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</row>
    <row r="37" spans="1:237" ht="61.5" customHeight="1" x14ac:dyDescent="0.25">
      <c r="A37" s="49"/>
      <c r="B37" s="54"/>
      <c r="C37" s="15" t="s">
        <v>5</v>
      </c>
      <c r="D37" s="16" t="s">
        <v>6</v>
      </c>
      <c r="E37" s="17">
        <v>68.287999999999997</v>
      </c>
      <c r="F37" s="17">
        <v>76.099999999999994</v>
      </c>
      <c r="G37" s="17">
        <v>46.844999999999999</v>
      </c>
      <c r="H37" s="17">
        <v>47.372</v>
      </c>
      <c r="I37" s="17">
        <v>48.298999999999999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</row>
    <row r="38" spans="1:237" ht="47.25" customHeight="1" x14ac:dyDescent="0.25">
      <c r="A38" s="49" t="s">
        <v>28</v>
      </c>
      <c r="B38" s="54" t="s">
        <v>40</v>
      </c>
      <c r="C38" s="15" t="s">
        <v>80</v>
      </c>
      <c r="D38" s="16" t="s">
        <v>81</v>
      </c>
      <c r="E38" s="16">
        <v>1.2</v>
      </c>
      <c r="F38" s="16">
        <v>2</v>
      </c>
      <c r="G38" s="16">
        <v>2</v>
      </c>
      <c r="H38" s="16">
        <v>2</v>
      </c>
      <c r="I38" s="16">
        <v>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</row>
    <row r="39" spans="1:237" ht="61.5" customHeight="1" x14ac:dyDescent="0.25">
      <c r="A39" s="49"/>
      <c r="B39" s="54"/>
      <c r="C39" s="15" t="s">
        <v>5</v>
      </c>
      <c r="D39" s="16" t="s">
        <v>6</v>
      </c>
      <c r="E39" s="17">
        <v>25.65484</v>
      </c>
      <c r="F39" s="17">
        <v>37.67</v>
      </c>
      <c r="G39" s="17">
        <v>93.69</v>
      </c>
      <c r="H39" s="17">
        <v>94.744</v>
      </c>
      <c r="I39" s="17">
        <v>96.597999999999999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</row>
    <row r="40" spans="1:237" ht="47.25" customHeight="1" x14ac:dyDescent="0.25">
      <c r="A40" s="49" t="s">
        <v>29</v>
      </c>
      <c r="B40" s="59" t="s">
        <v>134</v>
      </c>
      <c r="C40" s="15" t="s">
        <v>80</v>
      </c>
      <c r="D40" s="16" t="s">
        <v>81</v>
      </c>
      <c r="E40" s="16">
        <v>314</v>
      </c>
      <c r="F40" s="16">
        <v>432.5</v>
      </c>
      <c r="G40" s="16">
        <v>425</v>
      </c>
      <c r="H40" s="16">
        <v>450</v>
      </c>
      <c r="I40" s="16">
        <v>450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</row>
    <row r="41" spans="1:237" ht="61.5" customHeight="1" x14ac:dyDescent="0.25">
      <c r="A41" s="49"/>
      <c r="B41" s="59"/>
      <c r="C41" s="15" t="s">
        <v>5</v>
      </c>
      <c r="D41" s="16" t="s">
        <v>6</v>
      </c>
      <c r="E41" s="17">
        <v>11343.517</v>
      </c>
      <c r="F41" s="17">
        <v>16416.402999999998</v>
      </c>
      <c r="G41" s="17">
        <v>17878.338</v>
      </c>
      <c r="H41" s="17">
        <v>18080.531999999999</v>
      </c>
      <c r="I41" s="17">
        <v>18436.572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</row>
    <row r="42" spans="1:237" ht="47.25" customHeight="1" x14ac:dyDescent="0.25">
      <c r="A42" s="49" t="s">
        <v>45</v>
      </c>
      <c r="B42" s="59" t="s">
        <v>135</v>
      </c>
      <c r="C42" s="15" t="s">
        <v>80</v>
      </c>
      <c r="D42" s="16" t="s">
        <v>81</v>
      </c>
      <c r="E42" s="16">
        <v>348</v>
      </c>
      <c r="F42" s="16">
        <v>348</v>
      </c>
      <c r="G42" s="16">
        <v>348</v>
      </c>
      <c r="H42" s="16">
        <v>348</v>
      </c>
      <c r="I42" s="16">
        <v>348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</row>
    <row r="43" spans="1:237" ht="61.5" customHeight="1" x14ac:dyDescent="0.25">
      <c r="A43" s="49"/>
      <c r="B43" s="59"/>
      <c r="C43" s="15" t="s">
        <v>5</v>
      </c>
      <c r="D43" s="16" t="s">
        <v>6</v>
      </c>
      <c r="E43" s="17">
        <v>3882.0250000000001</v>
      </c>
      <c r="F43" s="17">
        <v>5026.46</v>
      </c>
      <c r="G43" s="17">
        <v>5260.3779999999997</v>
      </c>
      <c r="H43" s="17">
        <v>5331.4359999999997</v>
      </c>
      <c r="I43" s="17">
        <v>5445.808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</row>
    <row r="44" spans="1:237" s="43" customFormat="1" ht="31.25" x14ac:dyDescent="0.25">
      <c r="A44" s="62"/>
      <c r="B44" s="60" t="s">
        <v>110</v>
      </c>
      <c r="C44" s="20" t="s">
        <v>80</v>
      </c>
      <c r="D44" s="21" t="s">
        <v>81</v>
      </c>
      <c r="E44" s="21">
        <f>E8+E10+E12+E14+E16+E18+E20+E22+E26+E28+E30+E34+E36+E38+E32+E24</f>
        <v>3183.9</v>
      </c>
      <c r="F44" s="21">
        <f t="shared" ref="F44:I44" si="0">F8+F10+F12+F14+F16+F18+F20+F22+F26+F28+F30+F34+F36+F38+F32+F24</f>
        <v>3081.4000000000005</v>
      </c>
      <c r="G44" s="21">
        <f t="shared" si="0"/>
        <v>2931.7999999999997</v>
      </c>
      <c r="H44" s="21">
        <f t="shared" si="0"/>
        <v>2844</v>
      </c>
      <c r="I44" s="21">
        <f t="shared" si="0"/>
        <v>2848.3</v>
      </c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  <c r="FP44" s="42"/>
      <c r="FQ44" s="42"/>
      <c r="FR44" s="42"/>
      <c r="FS44" s="42"/>
      <c r="FT44" s="42"/>
      <c r="FU44" s="42"/>
      <c r="FV44" s="42"/>
      <c r="FW44" s="42"/>
      <c r="FX44" s="42"/>
      <c r="FY44" s="42"/>
      <c r="FZ44" s="42"/>
      <c r="GA44" s="42"/>
      <c r="GB44" s="42"/>
      <c r="GC44" s="42"/>
      <c r="GD44" s="42"/>
      <c r="GE44" s="42"/>
      <c r="GF44" s="42"/>
      <c r="GG44" s="42"/>
      <c r="GH44" s="42"/>
      <c r="GI44" s="42"/>
      <c r="GJ44" s="42"/>
      <c r="GK44" s="42"/>
      <c r="GL44" s="42"/>
      <c r="GM44" s="42"/>
      <c r="GN44" s="42"/>
      <c r="GO44" s="42"/>
      <c r="GP44" s="42"/>
      <c r="GQ44" s="42"/>
      <c r="GR44" s="42"/>
      <c r="GS44" s="42"/>
      <c r="GT44" s="42"/>
      <c r="GU44" s="42"/>
      <c r="GV44" s="42"/>
      <c r="GW44" s="42"/>
      <c r="GX44" s="42"/>
      <c r="GY44" s="42"/>
      <c r="GZ44" s="42"/>
      <c r="HA44" s="42"/>
      <c r="HB44" s="42"/>
      <c r="HC44" s="42"/>
      <c r="HD44" s="42"/>
      <c r="HE44" s="42"/>
      <c r="HF44" s="42"/>
      <c r="HG44" s="42"/>
      <c r="HH44" s="42"/>
      <c r="HI44" s="42"/>
      <c r="HJ44" s="42"/>
      <c r="HK44" s="42"/>
      <c r="HL44" s="42"/>
      <c r="HM44" s="42"/>
      <c r="HN44" s="42"/>
      <c r="HO44" s="42"/>
      <c r="HP44" s="42"/>
      <c r="HQ44" s="42"/>
      <c r="HR44" s="42"/>
      <c r="HS44" s="42"/>
      <c r="HT44" s="42"/>
      <c r="HU44" s="42"/>
      <c r="HV44" s="42"/>
      <c r="HW44" s="42"/>
      <c r="HX44" s="42"/>
      <c r="HY44" s="42"/>
      <c r="HZ44" s="42"/>
      <c r="IA44" s="42"/>
      <c r="IB44" s="42"/>
      <c r="IC44" s="42"/>
    </row>
    <row r="45" spans="1:237" s="43" customFormat="1" ht="78.150000000000006" x14ac:dyDescent="0.25">
      <c r="A45" s="63"/>
      <c r="B45" s="61"/>
      <c r="C45" s="20" t="s">
        <v>5</v>
      </c>
      <c r="D45" s="21" t="s">
        <v>6</v>
      </c>
      <c r="E45" s="22">
        <f>E9+E11+E13+E15+E17+E19+E21+E23+E25+E27+E29+E31+E33+E35+E37+E39+E41+E43</f>
        <v>460851.98329</v>
      </c>
      <c r="F45" s="22">
        <f t="shared" ref="F45:I45" si="1">F9+F11+F13+F15+F17+F19+F21+F23+F25+F27+F29+F31+F33+F35+F37+F39+F41+F43</f>
        <v>532222.69517999992</v>
      </c>
      <c r="G45" s="22">
        <f t="shared" si="1"/>
        <v>529716.71033999999</v>
      </c>
      <c r="H45" s="22">
        <f t="shared" si="1"/>
        <v>523068.00745999994</v>
      </c>
      <c r="I45" s="22">
        <f t="shared" si="1"/>
        <v>539880.41676000005</v>
      </c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  <c r="FP45" s="42"/>
      <c r="FQ45" s="42"/>
      <c r="FR45" s="42"/>
      <c r="FS45" s="42"/>
      <c r="FT45" s="42"/>
      <c r="FU45" s="42"/>
      <c r="FV45" s="42"/>
      <c r="FW45" s="42"/>
      <c r="FX45" s="42"/>
      <c r="FY45" s="42"/>
      <c r="FZ45" s="42"/>
      <c r="GA45" s="42"/>
      <c r="GB45" s="42"/>
      <c r="GC45" s="42"/>
      <c r="GD45" s="42"/>
      <c r="GE45" s="42"/>
      <c r="GF45" s="42"/>
      <c r="GG45" s="42"/>
      <c r="GH45" s="42"/>
      <c r="GI45" s="42"/>
      <c r="GJ45" s="42"/>
      <c r="GK45" s="42"/>
      <c r="GL45" s="42"/>
      <c r="GM45" s="42"/>
      <c r="GN45" s="42"/>
      <c r="GO45" s="42"/>
      <c r="GP45" s="42"/>
      <c r="GQ45" s="42"/>
      <c r="GR45" s="42"/>
      <c r="GS45" s="42"/>
      <c r="GT45" s="42"/>
      <c r="GU45" s="42"/>
      <c r="GV45" s="42"/>
      <c r="GW45" s="42"/>
      <c r="GX45" s="42"/>
      <c r="GY45" s="42"/>
      <c r="GZ45" s="42"/>
      <c r="HA45" s="42"/>
      <c r="HB45" s="42"/>
      <c r="HC45" s="42"/>
      <c r="HD45" s="42"/>
      <c r="HE45" s="42"/>
      <c r="HF45" s="42"/>
      <c r="HG45" s="42"/>
      <c r="HH45" s="42"/>
      <c r="HI45" s="42"/>
      <c r="HJ45" s="42"/>
      <c r="HK45" s="42"/>
      <c r="HL45" s="42"/>
      <c r="HM45" s="42"/>
      <c r="HN45" s="42"/>
      <c r="HO45" s="42"/>
      <c r="HP45" s="42"/>
      <c r="HQ45" s="42"/>
      <c r="HR45" s="42"/>
      <c r="HS45" s="42"/>
      <c r="HT45" s="42"/>
      <c r="HU45" s="42"/>
      <c r="HV45" s="42"/>
      <c r="HW45" s="42"/>
      <c r="HX45" s="42"/>
      <c r="HY45" s="42"/>
      <c r="HZ45" s="42"/>
      <c r="IA45" s="42"/>
      <c r="IB45" s="42"/>
      <c r="IC45" s="42"/>
    </row>
    <row r="46" spans="1:237" ht="47.25" customHeight="1" x14ac:dyDescent="0.25">
      <c r="A46" s="49" t="s">
        <v>46</v>
      </c>
      <c r="B46" s="54" t="s">
        <v>41</v>
      </c>
      <c r="C46" s="15" t="s">
        <v>80</v>
      </c>
      <c r="D46" s="16" t="s">
        <v>81</v>
      </c>
      <c r="E46" s="16">
        <v>3041.5</v>
      </c>
      <c r="F46" s="16">
        <v>2951.9</v>
      </c>
      <c r="G46" s="16">
        <v>2833.3</v>
      </c>
      <c r="H46" s="16">
        <v>2755.3</v>
      </c>
      <c r="I46" s="16">
        <v>2762.6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</row>
    <row r="47" spans="1:237" ht="61.5" customHeight="1" x14ac:dyDescent="0.25">
      <c r="A47" s="49"/>
      <c r="B47" s="54"/>
      <c r="C47" s="15" t="s">
        <v>5</v>
      </c>
      <c r="D47" s="16" t="s">
        <v>6</v>
      </c>
      <c r="E47" s="17">
        <v>209119.18669999999</v>
      </c>
      <c r="F47" s="17">
        <v>198664.87130999999</v>
      </c>
      <c r="G47" s="17">
        <v>216465.87578999999</v>
      </c>
      <c r="H47" s="17">
        <v>217824.71747</v>
      </c>
      <c r="I47" s="17">
        <v>222965.02298000001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</row>
    <row r="48" spans="1:237" ht="47.25" customHeight="1" x14ac:dyDescent="0.25">
      <c r="A48" s="49" t="s">
        <v>47</v>
      </c>
      <c r="B48" s="54" t="s">
        <v>42</v>
      </c>
      <c r="C48" s="15" t="s">
        <v>80</v>
      </c>
      <c r="D48" s="16" t="s">
        <v>81</v>
      </c>
      <c r="E48" s="16">
        <v>60</v>
      </c>
      <c r="F48" s="16">
        <v>39.4</v>
      </c>
      <c r="G48" s="16">
        <v>37.700000000000003</v>
      </c>
      <c r="H48" s="16">
        <v>35</v>
      </c>
      <c r="I48" s="16">
        <v>35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</row>
    <row r="49" spans="1:237" ht="61.5" customHeight="1" x14ac:dyDescent="0.25">
      <c r="A49" s="49"/>
      <c r="B49" s="54"/>
      <c r="C49" s="15" t="s">
        <v>5</v>
      </c>
      <c r="D49" s="16" t="s">
        <v>6</v>
      </c>
      <c r="E49" s="17">
        <v>4495.6863700000004</v>
      </c>
      <c r="F49" s="17">
        <v>2866.46866</v>
      </c>
      <c r="G49" s="17">
        <v>3351.8622399999999</v>
      </c>
      <c r="H49" s="17">
        <v>3242.7351699999999</v>
      </c>
      <c r="I49" s="17">
        <v>3316.9080399999998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</row>
    <row r="50" spans="1:237" ht="47.25" customHeight="1" x14ac:dyDescent="0.25">
      <c r="A50" s="49" t="s">
        <v>48</v>
      </c>
      <c r="B50" s="54" t="s">
        <v>43</v>
      </c>
      <c r="C50" s="15" t="s">
        <v>80</v>
      </c>
      <c r="D50" s="16" t="s">
        <v>81</v>
      </c>
      <c r="E50" s="16">
        <v>54.7</v>
      </c>
      <c r="F50" s="16">
        <v>60.2</v>
      </c>
      <c r="G50" s="16">
        <v>46.4</v>
      </c>
      <c r="H50" s="16">
        <v>42.7</v>
      </c>
      <c r="I50" s="16">
        <v>40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</row>
    <row r="51" spans="1:237" ht="61.5" customHeight="1" x14ac:dyDescent="0.25">
      <c r="A51" s="49"/>
      <c r="B51" s="54"/>
      <c r="C51" s="15" t="s">
        <v>5</v>
      </c>
      <c r="D51" s="16" t="s">
        <v>6</v>
      </c>
      <c r="E51" s="17">
        <v>4936.6003499999997</v>
      </c>
      <c r="F51" s="17">
        <v>5420.4656999999997</v>
      </c>
      <c r="G51" s="17">
        <v>4724.0607600000003</v>
      </c>
      <c r="H51" s="17">
        <v>4468.07366</v>
      </c>
      <c r="I51" s="17">
        <v>4278.1130000000003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</row>
    <row r="52" spans="1:237" ht="47.25" customHeight="1" x14ac:dyDescent="0.25">
      <c r="A52" s="49" t="s">
        <v>49</v>
      </c>
      <c r="B52" s="54" t="s">
        <v>44</v>
      </c>
      <c r="C52" s="15" t="s">
        <v>80</v>
      </c>
      <c r="D52" s="16" t="s">
        <v>81</v>
      </c>
      <c r="E52" s="16">
        <v>24.5</v>
      </c>
      <c r="F52" s="16">
        <v>26.2</v>
      </c>
      <c r="G52" s="16">
        <v>11.4</v>
      </c>
      <c r="H52" s="16">
        <v>8</v>
      </c>
      <c r="I52" s="16">
        <v>7.7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</row>
    <row r="53" spans="1:237" ht="61.5" customHeight="1" x14ac:dyDescent="0.25">
      <c r="A53" s="49"/>
      <c r="B53" s="54"/>
      <c r="C53" s="15" t="s">
        <v>5</v>
      </c>
      <c r="D53" s="16" t="s">
        <v>6</v>
      </c>
      <c r="E53" s="17">
        <v>2081.8075899999999</v>
      </c>
      <c r="F53" s="17">
        <v>2206.7699400000001</v>
      </c>
      <c r="G53" s="17">
        <v>1069.9515899999999</v>
      </c>
      <c r="H53" s="17">
        <v>737.28393000000005</v>
      </c>
      <c r="I53" s="17">
        <v>712.10283000000004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</row>
    <row r="54" spans="1:237" s="45" customFormat="1" ht="48.25" customHeight="1" x14ac:dyDescent="0.25">
      <c r="A54" s="57"/>
      <c r="B54" s="55" t="s">
        <v>100</v>
      </c>
      <c r="C54" s="20" t="s">
        <v>80</v>
      </c>
      <c r="D54" s="21" t="s">
        <v>81</v>
      </c>
      <c r="E54" s="26">
        <f>E46+E48+E50+E52</f>
        <v>3180.7</v>
      </c>
      <c r="F54" s="26">
        <f t="shared" ref="F54:I54" si="2">F46+F48+F50+F52</f>
        <v>3077.7</v>
      </c>
      <c r="G54" s="26">
        <f t="shared" si="2"/>
        <v>2928.8</v>
      </c>
      <c r="H54" s="26">
        <f t="shared" si="2"/>
        <v>2841</v>
      </c>
      <c r="I54" s="26">
        <f t="shared" si="2"/>
        <v>2845.2999999999997</v>
      </c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  <c r="FP54" s="44"/>
      <c r="FQ54" s="44"/>
      <c r="FR54" s="44"/>
      <c r="FS54" s="44"/>
      <c r="FT54" s="44"/>
      <c r="FU54" s="44"/>
      <c r="FV54" s="44"/>
      <c r="FW54" s="44"/>
      <c r="FX54" s="44"/>
      <c r="FY54" s="44"/>
      <c r="FZ54" s="44"/>
      <c r="GA54" s="44"/>
      <c r="GB54" s="44"/>
      <c r="GC54" s="44"/>
      <c r="GD54" s="44"/>
      <c r="GE54" s="44"/>
      <c r="GF54" s="44"/>
      <c r="GG54" s="44"/>
      <c r="GH54" s="44"/>
      <c r="GI54" s="44"/>
      <c r="GJ54" s="44"/>
      <c r="GK54" s="44"/>
      <c r="GL54" s="44"/>
      <c r="GM54" s="44"/>
      <c r="GN54" s="44"/>
      <c r="GO54" s="44"/>
      <c r="GP54" s="44"/>
      <c r="GQ54" s="44"/>
      <c r="GR54" s="44"/>
      <c r="GS54" s="44"/>
      <c r="GT54" s="44"/>
      <c r="GU54" s="44"/>
      <c r="GV54" s="44"/>
      <c r="GW54" s="44"/>
      <c r="GX54" s="44"/>
      <c r="GY54" s="44"/>
      <c r="GZ54" s="44"/>
      <c r="HA54" s="44"/>
      <c r="HB54" s="44"/>
      <c r="HC54" s="44"/>
      <c r="HD54" s="44"/>
      <c r="HE54" s="44"/>
      <c r="HF54" s="44"/>
      <c r="HG54" s="44"/>
      <c r="HH54" s="44"/>
      <c r="HI54" s="44"/>
      <c r="HJ54" s="44"/>
      <c r="HK54" s="44"/>
      <c r="HL54" s="44"/>
      <c r="HM54" s="44"/>
      <c r="HN54" s="44"/>
      <c r="HO54" s="44"/>
      <c r="HP54" s="44"/>
      <c r="HQ54" s="44"/>
      <c r="HR54" s="44"/>
      <c r="HS54" s="44"/>
      <c r="HT54" s="44"/>
      <c r="HU54" s="44"/>
      <c r="HV54" s="44"/>
      <c r="HW54" s="44"/>
      <c r="HX54" s="44"/>
      <c r="HY54" s="44"/>
      <c r="HZ54" s="44"/>
      <c r="IA54" s="44"/>
      <c r="IB54" s="44"/>
      <c r="IC54" s="44"/>
    </row>
    <row r="55" spans="1:237" s="45" customFormat="1" ht="48.25" customHeight="1" x14ac:dyDescent="0.25">
      <c r="A55" s="58"/>
      <c r="B55" s="56"/>
      <c r="C55" s="20" t="s">
        <v>5</v>
      </c>
      <c r="D55" s="21" t="s">
        <v>6</v>
      </c>
      <c r="E55" s="27">
        <f>E47+E49+E51+E53</f>
        <v>220633.28101000001</v>
      </c>
      <c r="F55" s="27">
        <f t="shared" ref="F55:H55" si="3">F47+F49+F51+F53</f>
        <v>209158.57561</v>
      </c>
      <c r="G55" s="27">
        <f t="shared" si="3"/>
        <v>225611.75037999998</v>
      </c>
      <c r="H55" s="27">
        <f t="shared" si="3"/>
        <v>226272.81023</v>
      </c>
      <c r="I55" s="27">
        <f>I47+I49+I51+I53</f>
        <v>231272.14685000002</v>
      </c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  <c r="FP55" s="44"/>
      <c r="FQ55" s="44"/>
      <c r="FR55" s="44"/>
      <c r="FS55" s="44"/>
      <c r="FT55" s="44"/>
      <c r="FU55" s="44"/>
      <c r="FV55" s="44"/>
      <c r="FW55" s="44"/>
      <c r="FX55" s="44"/>
      <c r="FY55" s="44"/>
      <c r="FZ55" s="44"/>
      <c r="GA55" s="44"/>
      <c r="GB55" s="44"/>
      <c r="GC55" s="44"/>
      <c r="GD55" s="44"/>
      <c r="GE55" s="44"/>
      <c r="GF55" s="44"/>
      <c r="GG55" s="44"/>
      <c r="GH55" s="44"/>
      <c r="GI55" s="44"/>
      <c r="GJ55" s="44"/>
      <c r="GK55" s="44"/>
      <c r="GL55" s="44"/>
      <c r="GM55" s="44"/>
      <c r="GN55" s="44"/>
      <c r="GO55" s="44"/>
      <c r="GP55" s="44"/>
      <c r="GQ55" s="44"/>
      <c r="GR55" s="44"/>
      <c r="GS55" s="44"/>
      <c r="GT55" s="44"/>
      <c r="GU55" s="44"/>
      <c r="GV55" s="44"/>
      <c r="GW55" s="44"/>
      <c r="GX55" s="44"/>
      <c r="GY55" s="44"/>
      <c r="GZ55" s="44"/>
      <c r="HA55" s="44"/>
      <c r="HB55" s="44"/>
      <c r="HC55" s="44"/>
      <c r="HD55" s="44"/>
      <c r="HE55" s="44"/>
      <c r="HF55" s="44"/>
      <c r="HG55" s="44"/>
      <c r="HH55" s="44"/>
      <c r="HI55" s="44"/>
      <c r="HJ55" s="44"/>
      <c r="HK55" s="44"/>
      <c r="HL55" s="44"/>
      <c r="HM55" s="44"/>
      <c r="HN55" s="44"/>
      <c r="HO55" s="44"/>
      <c r="HP55" s="44"/>
      <c r="HQ55" s="44"/>
      <c r="HR55" s="44"/>
      <c r="HS55" s="44"/>
      <c r="HT55" s="44"/>
      <c r="HU55" s="44"/>
      <c r="HV55" s="44"/>
      <c r="HW55" s="44"/>
      <c r="HX55" s="44"/>
      <c r="HY55" s="44"/>
      <c r="HZ55" s="44"/>
      <c r="IA55" s="44"/>
      <c r="IB55" s="44"/>
      <c r="IC55" s="44"/>
    </row>
    <row r="56" spans="1:237" ht="47.25" customHeight="1" x14ac:dyDescent="0.25">
      <c r="A56" s="49" t="s">
        <v>50</v>
      </c>
      <c r="B56" s="50" t="s">
        <v>51</v>
      </c>
      <c r="C56" s="15" t="s">
        <v>83</v>
      </c>
      <c r="D56" s="16" t="s">
        <v>82</v>
      </c>
      <c r="E56" s="17">
        <v>2013.4</v>
      </c>
      <c r="F56" s="17">
        <v>2031.1</v>
      </c>
      <c r="G56" s="17">
        <v>1990.7</v>
      </c>
      <c r="H56" s="17">
        <v>1916.4</v>
      </c>
      <c r="I56" s="17">
        <v>1840.7</v>
      </c>
      <c r="J56" s="3"/>
      <c r="K56" s="3"/>
      <c r="L56" s="3"/>
      <c r="M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</row>
    <row r="57" spans="1:237" ht="61.5" customHeight="1" x14ac:dyDescent="0.25">
      <c r="A57" s="49"/>
      <c r="B57" s="51"/>
      <c r="C57" s="15" t="s">
        <v>5</v>
      </c>
      <c r="D57" s="16" t="s">
        <v>6</v>
      </c>
      <c r="E57" s="17">
        <f>137985478.81/1000</f>
        <v>137985.47881</v>
      </c>
      <c r="F57" s="17">
        <f>159787956.892168/1000</f>
        <v>159787.95689216797</v>
      </c>
      <c r="G57" s="17">
        <f>158883009.247657/1000</f>
        <v>158883.009247657</v>
      </c>
      <c r="H57" s="17">
        <f>155259211.900829/1000</f>
        <v>155259.21190082899</v>
      </c>
      <c r="I57" s="17">
        <f>153406227.167326/1000</f>
        <v>153406.227167326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</row>
    <row r="58" spans="1:237" ht="47.25" customHeight="1" x14ac:dyDescent="0.25">
      <c r="A58" s="49" t="s">
        <v>60</v>
      </c>
      <c r="B58" s="50" t="s">
        <v>111</v>
      </c>
      <c r="C58" s="15" t="s">
        <v>83</v>
      </c>
      <c r="D58" s="16" t="s">
        <v>82</v>
      </c>
      <c r="E58" s="17">
        <v>0.3</v>
      </c>
      <c r="F58" s="17">
        <v>0.6</v>
      </c>
      <c r="G58" s="17">
        <v>1</v>
      </c>
      <c r="H58" s="17">
        <v>1</v>
      </c>
      <c r="I58" s="17">
        <v>0.7</v>
      </c>
      <c r="J58" s="3"/>
      <c r="K58" s="3"/>
      <c r="L58" s="3"/>
      <c r="M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</row>
    <row r="59" spans="1:237" ht="61.5" customHeight="1" x14ac:dyDescent="0.25">
      <c r="A59" s="49"/>
      <c r="B59" s="51"/>
      <c r="C59" s="15" t="s">
        <v>5</v>
      </c>
      <c r="D59" s="16" t="s">
        <v>6</v>
      </c>
      <c r="E59" s="17">
        <f>161075.47/1000</f>
        <v>161.07547</v>
      </c>
      <c r="F59" s="17">
        <f>93801.5760946823/1000</f>
        <v>93.801576094682304</v>
      </c>
      <c r="G59" s="17">
        <f>285108.987453614/1000</f>
        <v>285.10898745361402</v>
      </c>
      <c r="H59" s="17">
        <f>285923.497345133/1000</f>
        <v>285.923497345133</v>
      </c>
      <c r="I59" s="17">
        <f>206035.425717853/1000</f>
        <v>206.035425717853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</row>
    <row r="60" spans="1:237" ht="47.25" customHeight="1" x14ac:dyDescent="0.25">
      <c r="A60" s="49" t="s">
        <v>61</v>
      </c>
      <c r="B60" s="50" t="s">
        <v>112</v>
      </c>
      <c r="C60" s="15" t="s">
        <v>83</v>
      </c>
      <c r="D60" s="16" t="s">
        <v>82</v>
      </c>
      <c r="E60" s="17">
        <v>1.6</v>
      </c>
      <c r="F60" s="17">
        <v>1.7</v>
      </c>
      <c r="G60" s="17">
        <v>1</v>
      </c>
      <c r="H60" s="17">
        <v>1</v>
      </c>
      <c r="I60" s="17">
        <v>0.7</v>
      </c>
      <c r="J60" s="3"/>
      <c r="K60" s="3"/>
      <c r="L60" s="3"/>
      <c r="M60" s="3"/>
      <c r="O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</row>
    <row r="61" spans="1:237" ht="61.5" customHeight="1" x14ac:dyDescent="0.25">
      <c r="A61" s="49"/>
      <c r="B61" s="51"/>
      <c r="C61" s="15" t="s">
        <v>5</v>
      </c>
      <c r="D61" s="16" t="s">
        <v>6</v>
      </c>
      <c r="E61" s="17">
        <f>498482.01/1000</f>
        <v>498.48201</v>
      </c>
      <c r="F61" s="17">
        <f>579774.488043936/1000</f>
        <v>579.774488043936</v>
      </c>
      <c r="G61" s="17">
        <f>340874.462133273/1000</f>
        <v>340.87446213327303</v>
      </c>
      <c r="H61" s="17">
        <f>341061.2644064/1000</f>
        <v>341.06126440639997</v>
      </c>
      <c r="I61" s="17">
        <f>245782.171973094/1000</f>
        <v>245.78217197309399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</row>
    <row r="62" spans="1:237" ht="47.25" customHeight="1" x14ac:dyDescent="0.25">
      <c r="A62" s="49" t="s">
        <v>62</v>
      </c>
      <c r="B62" s="50" t="s">
        <v>113</v>
      </c>
      <c r="C62" s="15" t="s">
        <v>83</v>
      </c>
      <c r="D62" s="16" t="s">
        <v>82</v>
      </c>
      <c r="E62" s="17">
        <v>2.2000000000000002</v>
      </c>
      <c r="F62" s="17">
        <v>1</v>
      </c>
      <c r="G62" s="17">
        <v>1</v>
      </c>
      <c r="H62" s="17">
        <v>0</v>
      </c>
      <c r="I62" s="17">
        <v>0</v>
      </c>
      <c r="J62" s="3"/>
      <c r="K62" s="3"/>
      <c r="L62" s="3"/>
      <c r="M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</row>
    <row r="63" spans="1:237" ht="61.5" customHeight="1" x14ac:dyDescent="0.25">
      <c r="A63" s="49"/>
      <c r="B63" s="51"/>
      <c r="C63" s="15" t="s">
        <v>5</v>
      </c>
      <c r="D63" s="16" t="s">
        <v>6</v>
      </c>
      <c r="E63" s="17">
        <f>129156.78/1000</f>
        <v>129.15678</v>
      </c>
      <c r="F63" s="17">
        <f>65722.3932040391/1000</f>
        <v>65.722393204039093</v>
      </c>
      <c r="G63" s="17">
        <f>14475.706981946/1000</f>
        <v>14.475706981945999</v>
      </c>
      <c r="H63" s="17">
        <v>0</v>
      </c>
      <c r="I63" s="17"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</row>
    <row r="64" spans="1:237" ht="47.25" customHeight="1" x14ac:dyDescent="0.25">
      <c r="A64" s="49" t="s">
        <v>63</v>
      </c>
      <c r="B64" s="50" t="s">
        <v>114</v>
      </c>
      <c r="C64" s="15" t="s">
        <v>83</v>
      </c>
      <c r="D64" s="16" t="s">
        <v>82</v>
      </c>
      <c r="E64" s="17">
        <v>1.2</v>
      </c>
      <c r="F64" s="17">
        <v>1.7</v>
      </c>
      <c r="G64" s="17">
        <v>0</v>
      </c>
      <c r="H64" s="17">
        <v>0.7</v>
      </c>
      <c r="I64" s="17">
        <v>0</v>
      </c>
      <c r="J64" s="3"/>
      <c r="K64" s="3"/>
      <c r="L64" s="3"/>
      <c r="M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</row>
    <row r="65" spans="1:237" ht="61.5" customHeight="1" x14ac:dyDescent="0.25">
      <c r="A65" s="49"/>
      <c r="B65" s="51"/>
      <c r="C65" s="15" t="s">
        <v>5</v>
      </c>
      <c r="D65" s="16" t="s">
        <v>6</v>
      </c>
      <c r="E65" s="17">
        <f>6836.5/1000</f>
        <v>6.8365</v>
      </c>
      <c r="F65" s="17">
        <f>21425.9475074956/1000</f>
        <v>21.4259475074956</v>
      </c>
      <c r="G65" s="17">
        <v>0</v>
      </c>
      <c r="H65" s="17">
        <f>10164.1592/1000</f>
        <v>10.1641592</v>
      </c>
      <c r="I65" s="17"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</row>
    <row r="66" spans="1:237" ht="47.25" customHeight="1" x14ac:dyDescent="0.25">
      <c r="A66" s="49" t="s">
        <v>64</v>
      </c>
      <c r="B66" s="50" t="s">
        <v>52</v>
      </c>
      <c r="C66" s="15" t="s">
        <v>83</v>
      </c>
      <c r="D66" s="16" t="s">
        <v>82</v>
      </c>
      <c r="E66" s="17">
        <v>102.3</v>
      </c>
      <c r="F66" s="17">
        <v>42.7</v>
      </c>
      <c r="G66" s="17">
        <v>0</v>
      </c>
      <c r="H66" s="17">
        <v>0</v>
      </c>
      <c r="I66" s="17"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</row>
    <row r="67" spans="1:237" ht="61.5" customHeight="1" x14ac:dyDescent="0.25">
      <c r="A67" s="49"/>
      <c r="B67" s="51"/>
      <c r="C67" s="15" t="s">
        <v>5</v>
      </c>
      <c r="D67" s="16" t="s">
        <v>6</v>
      </c>
      <c r="E67" s="17">
        <f>7624091.63/1000</f>
        <v>7624.0916299999999</v>
      </c>
      <c r="F67" s="17">
        <f>3595076.36762567/1000</f>
        <v>3595.0763676256702</v>
      </c>
      <c r="G67" s="17">
        <v>0</v>
      </c>
      <c r="H67" s="17">
        <v>0</v>
      </c>
      <c r="I67" s="17"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</row>
    <row r="68" spans="1:237" ht="47.25" customHeight="1" x14ac:dyDescent="0.25">
      <c r="A68" s="49" t="s">
        <v>65</v>
      </c>
      <c r="B68" s="50" t="s">
        <v>53</v>
      </c>
      <c r="C68" s="15" t="s">
        <v>83</v>
      </c>
      <c r="D68" s="16" t="s">
        <v>82</v>
      </c>
      <c r="E68" s="17">
        <v>403.9</v>
      </c>
      <c r="F68" s="17">
        <v>434.1</v>
      </c>
      <c r="G68" s="17">
        <v>428.4</v>
      </c>
      <c r="H68" s="17">
        <v>411.40000000000003</v>
      </c>
      <c r="I68" s="17">
        <v>399.1</v>
      </c>
      <c r="J68" s="3"/>
      <c r="K68" s="3"/>
      <c r="L68" s="3"/>
      <c r="M68" s="3"/>
      <c r="N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</row>
    <row r="69" spans="1:237" ht="61.5" customHeight="1" x14ac:dyDescent="0.25">
      <c r="A69" s="49"/>
      <c r="B69" s="51"/>
      <c r="C69" s="15" t="s">
        <v>5</v>
      </c>
      <c r="D69" s="16" t="s">
        <v>6</v>
      </c>
      <c r="E69" s="17">
        <f>64316201.6/1000</f>
        <v>64316.2016</v>
      </c>
      <c r="F69" s="17">
        <f>79172744.1893644/1000</f>
        <v>79172.744189364399</v>
      </c>
      <c r="G69" s="17">
        <f>79844480.1443398/1000</f>
        <v>79844.480144339803</v>
      </c>
      <c r="H69" s="17">
        <f>63774501.76964/1000</f>
        <v>63774.501769639995</v>
      </c>
      <c r="I69" s="17">
        <f>76270266.5567444/1000</f>
        <v>76270.266556744391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</row>
    <row r="70" spans="1:237" ht="47.25" customHeight="1" x14ac:dyDescent="0.25">
      <c r="A70" s="49" t="s">
        <v>66</v>
      </c>
      <c r="B70" s="50" t="s">
        <v>115</v>
      </c>
      <c r="C70" s="15" t="s">
        <v>83</v>
      </c>
      <c r="D70" s="16" t="s">
        <v>82</v>
      </c>
      <c r="E70" s="17">
        <v>0.8</v>
      </c>
      <c r="F70" s="17">
        <v>0.4</v>
      </c>
      <c r="G70" s="17">
        <v>0</v>
      </c>
      <c r="H70" s="17">
        <v>0</v>
      </c>
      <c r="I70" s="17"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</row>
    <row r="71" spans="1:237" ht="61.5" customHeight="1" x14ac:dyDescent="0.25">
      <c r="A71" s="49"/>
      <c r="B71" s="51"/>
      <c r="C71" s="15" t="s">
        <v>5</v>
      </c>
      <c r="D71" s="16" t="s">
        <v>6</v>
      </c>
      <c r="E71" s="17">
        <f>154146.38/1000</f>
        <v>154.14637999999999</v>
      </c>
      <c r="F71" s="17">
        <f>77535.4993760878/1000</f>
        <v>77.535499376087799</v>
      </c>
      <c r="G71" s="17">
        <v>0</v>
      </c>
      <c r="H71" s="17">
        <v>0</v>
      </c>
      <c r="I71" s="17"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</row>
    <row r="72" spans="1:237" ht="47.25" customHeight="1" x14ac:dyDescent="0.25">
      <c r="A72" s="49" t="s">
        <v>67</v>
      </c>
      <c r="B72" s="50" t="s">
        <v>116</v>
      </c>
      <c r="C72" s="15" t="s">
        <v>83</v>
      </c>
      <c r="D72" s="16" t="s">
        <v>82</v>
      </c>
      <c r="E72" s="17">
        <v>14.5</v>
      </c>
      <c r="F72" s="17">
        <v>10.8</v>
      </c>
      <c r="G72" s="17">
        <v>4.7</v>
      </c>
      <c r="H72" s="17">
        <v>1.7</v>
      </c>
      <c r="I72" s="17">
        <v>1</v>
      </c>
      <c r="J72" s="3"/>
      <c r="K72" s="3"/>
      <c r="L72" s="3"/>
      <c r="M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</row>
    <row r="73" spans="1:237" ht="61.5" customHeight="1" x14ac:dyDescent="0.25">
      <c r="A73" s="49"/>
      <c r="B73" s="51"/>
      <c r="C73" s="15" t="s">
        <v>5</v>
      </c>
      <c r="D73" s="16" t="s">
        <v>6</v>
      </c>
      <c r="E73" s="17">
        <f>4027007.93/1000</f>
        <v>4027.0079300000002</v>
      </c>
      <c r="F73" s="17">
        <f>2641341.69907306/1000</f>
        <v>2641.3416990730598</v>
      </c>
      <c r="G73" s="17">
        <f>759555.822815146/1000</f>
        <v>759.55582281514592</v>
      </c>
      <c r="H73" s="17">
        <f>220455.8152/1000</f>
        <v>220.45581520000002</v>
      </c>
      <c r="I73" s="17">
        <f>133209.431089744/1000</f>
        <v>133.20943108974399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</row>
    <row r="74" spans="1:237" ht="61.5" customHeight="1" x14ac:dyDescent="0.25">
      <c r="A74" s="18"/>
      <c r="B74" s="29" t="s">
        <v>101</v>
      </c>
      <c r="C74" s="20"/>
      <c r="D74" s="21"/>
      <c r="E74" s="22">
        <f>E56+E66+E68+E58+E60+E62+E64+E70+E72</f>
        <v>2540.2000000000003</v>
      </c>
      <c r="F74" s="22">
        <f t="shared" ref="F74:I74" si="4">F56+F66+F68+F58+F60+F62+F64+F70+F72</f>
        <v>2524.0999999999995</v>
      </c>
      <c r="G74" s="22">
        <f t="shared" si="4"/>
        <v>2426.7999999999997</v>
      </c>
      <c r="H74" s="22">
        <f t="shared" si="4"/>
        <v>2332.1999999999998</v>
      </c>
      <c r="I74" s="22">
        <f t="shared" si="4"/>
        <v>2242.1999999999998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</row>
    <row r="75" spans="1:237" ht="47.25" customHeight="1" x14ac:dyDescent="0.25">
      <c r="A75" s="49" t="s">
        <v>74</v>
      </c>
      <c r="B75" s="50" t="s">
        <v>54</v>
      </c>
      <c r="C75" s="15" t="s">
        <v>83</v>
      </c>
      <c r="D75" s="16" t="s">
        <v>82</v>
      </c>
      <c r="E75" s="17">
        <v>1256.2</v>
      </c>
      <c r="F75" s="17">
        <v>1250.7</v>
      </c>
      <c r="G75" s="28">
        <v>1224</v>
      </c>
      <c r="H75" s="28">
        <v>1246</v>
      </c>
      <c r="I75" s="28">
        <v>1281.1000000000001</v>
      </c>
      <c r="J75" s="3"/>
      <c r="K75" s="3"/>
      <c r="L75" s="3"/>
      <c r="M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</row>
    <row r="76" spans="1:237" ht="61.5" customHeight="1" x14ac:dyDescent="0.25">
      <c r="A76" s="49"/>
      <c r="B76" s="51"/>
      <c r="C76" s="15" t="s">
        <v>5</v>
      </c>
      <c r="D76" s="16" t="s">
        <v>6</v>
      </c>
      <c r="E76" s="17">
        <f>108259505.11/1000</f>
        <v>108259.50511</v>
      </c>
      <c r="F76" s="17">
        <f>122349276.453429/1000</f>
        <v>122349.276453429</v>
      </c>
      <c r="G76" s="17">
        <f>121378874.814532/1000</f>
        <v>121378.874814532</v>
      </c>
      <c r="H76" s="17">
        <f>138870940.114843/1000</f>
        <v>138870.94011484302</v>
      </c>
      <c r="I76" s="17">
        <f>132069780.983593/1000</f>
        <v>132069.78098359299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</row>
    <row r="77" spans="1:237" ht="47.25" customHeight="1" x14ac:dyDescent="0.25">
      <c r="A77" s="49" t="s">
        <v>75</v>
      </c>
      <c r="B77" s="50" t="s">
        <v>117</v>
      </c>
      <c r="C77" s="15" t="s">
        <v>83</v>
      </c>
      <c r="D77" s="16" t="s">
        <v>82</v>
      </c>
      <c r="E77" s="17">
        <v>13.4</v>
      </c>
      <c r="F77" s="17">
        <v>5.3</v>
      </c>
      <c r="G77" s="17">
        <v>0</v>
      </c>
      <c r="H77" s="17">
        <v>0</v>
      </c>
      <c r="I77" s="17">
        <v>0.3</v>
      </c>
      <c r="J77" s="3"/>
      <c r="K77" s="3"/>
      <c r="L77" s="3"/>
      <c r="M77" s="3"/>
      <c r="O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</row>
    <row r="78" spans="1:237" ht="61.5" customHeight="1" x14ac:dyDescent="0.25">
      <c r="A78" s="49"/>
      <c r="B78" s="51"/>
      <c r="C78" s="15" t="s">
        <v>5</v>
      </c>
      <c r="D78" s="16" t="s">
        <v>6</v>
      </c>
      <c r="E78" s="17">
        <f>3566655.33/1000</f>
        <v>3566.65533</v>
      </c>
      <c r="F78" s="17">
        <f>1385218.84297159/1000</f>
        <v>1385.2188429715902</v>
      </c>
      <c r="G78" s="17">
        <v>0</v>
      </c>
      <c r="H78" s="17">
        <v>0</v>
      </c>
      <c r="I78" s="17">
        <f>88258.0395933654/1000</f>
        <v>88.25803959336541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</row>
    <row r="79" spans="1:237" ht="47.25" customHeight="1" x14ac:dyDescent="0.25">
      <c r="A79" s="49" t="s">
        <v>76</v>
      </c>
      <c r="B79" s="50" t="s">
        <v>118</v>
      </c>
      <c r="C79" s="15" t="s">
        <v>83</v>
      </c>
      <c r="D79" s="16" t="s">
        <v>82</v>
      </c>
      <c r="E79" s="17">
        <v>1.1000000000000001</v>
      </c>
      <c r="F79" s="17">
        <v>1.2</v>
      </c>
      <c r="G79" s="28">
        <v>1</v>
      </c>
      <c r="H79" s="28">
        <v>0.7</v>
      </c>
      <c r="I79" s="28">
        <v>0</v>
      </c>
      <c r="J79" s="3"/>
      <c r="K79" s="3"/>
      <c r="L79" s="3"/>
      <c r="M79" s="3"/>
      <c r="N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</row>
    <row r="80" spans="1:237" ht="61.5" customHeight="1" x14ac:dyDescent="0.25">
      <c r="A80" s="49"/>
      <c r="B80" s="51"/>
      <c r="C80" s="15" t="s">
        <v>5</v>
      </c>
      <c r="D80" s="16" t="s">
        <v>6</v>
      </c>
      <c r="E80" s="17">
        <f>339445.44/1000</f>
        <v>339.44544000000002</v>
      </c>
      <c r="F80" s="17">
        <f>408989.98183389/1000</f>
        <v>408.98998183389</v>
      </c>
      <c r="G80" s="17">
        <f>340697.916938111/1000</f>
        <v>340.69791693811101</v>
      </c>
      <c r="H80" s="17">
        <f>238829.514257129/1000</f>
        <v>238.82951425712898</v>
      </c>
      <c r="I80" s="17"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</row>
    <row r="81" spans="1:237" ht="47.25" customHeight="1" x14ac:dyDescent="0.25">
      <c r="A81" s="49" t="s">
        <v>77</v>
      </c>
      <c r="B81" s="50" t="s">
        <v>119</v>
      </c>
      <c r="C81" s="15" t="s">
        <v>83</v>
      </c>
      <c r="D81" s="16" t="s">
        <v>82</v>
      </c>
      <c r="E81" s="17">
        <v>2.1</v>
      </c>
      <c r="F81" s="17">
        <v>2.2000000000000002</v>
      </c>
      <c r="G81" s="17">
        <v>0</v>
      </c>
      <c r="H81" s="17">
        <v>0</v>
      </c>
      <c r="I81" s="17"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</row>
    <row r="82" spans="1:237" ht="61.5" customHeight="1" x14ac:dyDescent="0.25">
      <c r="A82" s="49"/>
      <c r="B82" s="51"/>
      <c r="C82" s="15" t="s">
        <v>5</v>
      </c>
      <c r="D82" s="16" t="s">
        <v>6</v>
      </c>
      <c r="E82" s="17">
        <f>123317.84/1000</f>
        <v>123.31783999999999</v>
      </c>
      <c r="F82" s="17">
        <f>144629.265048886/1000</f>
        <v>144.629265048886</v>
      </c>
      <c r="G82" s="17">
        <v>0</v>
      </c>
      <c r="H82" s="17">
        <v>0</v>
      </c>
      <c r="I82" s="17"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</row>
    <row r="83" spans="1:237" ht="47.25" customHeight="1" x14ac:dyDescent="0.25">
      <c r="A83" s="49" t="s">
        <v>95</v>
      </c>
      <c r="B83" s="50" t="s">
        <v>120</v>
      </c>
      <c r="C83" s="15" t="s">
        <v>83</v>
      </c>
      <c r="D83" s="16" t="s">
        <v>82</v>
      </c>
      <c r="E83" s="17">
        <v>1.9</v>
      </c>
      <c r="F83" s="17">
        <v>0.1</v>
      </c>
      <c r="G83" s="17">
        <v>0</v>
      </c>
      <c r="H83" s="17">
        <v>0.3</v>
      </c>
      <c r="I83" s="17">
        <v>1</v>
      </c>
      <c r="J83" s="3"/>
      <c r="K83" s="3"/>
      <c r="L83" s="3"/>
      <c r="M83" s="3"/>
      <c r="N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</row>
    <row r="84" spans="1:237" ht="61.5" customHeight="1" x14ac:dyDescent="0.25">
      <c r="A84" s="49"/>
      <c r="B84" s="51"/>
      <c r="C84" s="15" t="s">
        <v>5</v>
      </c>
      <c r="D84" s="16" t="s">
        <v>6</v>
      </c>
      <c r="E84" s="17">
        <f>12709.34/1000</f>
        <v>12.709340000000001</v>
      </c>
      <c r="F84" s="17">
        <f>1143.36490049379/1000</f>
        <v>1.14336490049379</v>
      </c>
      <c r="G84" s="17">
        <v>0</v>
      </c>
      <c r="H84" s="17">
        <f>4627.4968/1000</f>
        <v>4.6274968000000003</v>
      </c>
      <c r="I84" s="17">
        <f>15609.4310897436/1000</f>
        <v>15.6094310897436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</row>
    <row r="85" spans="1:237" ht="47.25" customHeight="1" x14ac:dyDescent="0.25">
      <c r="A85" s="49" t="s">
        <v>96</v>
      </c>
      <c r="B85" s="50" t="s">
        <v>55</v>
      </c>
      <c r="C85" s="15" t="s">
        <v>83</v>
      </c>
      <c r="D85" s="16" t="s">
        <v>82</v>
      </c>
      <c r="E85" s="17">
        <v>1251.0999999999999</v>
      </c>
      <c r="F85" s="17">
        <v>1287.4000000000001</v>
      </c>
      <c r="G85" s="17">
        <v>1355.3999999999999</v>
      </c>
      <c r="H85" s="17">
        <v>1370.1999999999998</v>
      </c>
      <c r="I85" s="17">
        <v>1326.3</v>
      </c>
      <c r="J85" s="3"/>
      <c r="K85" s="3"/>
      <c r="L85" s="3"/>
      <c r="M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</row>
    <row r="86" spans="1:237" ht="61.5" customHeight="1" x14ac:dyDescent="0.25">
      <c r="A86" s="49"/>
      <c r="B86" s="51"/>
      <c r="C86" s="15" t="s">
        <v>5</v>
      </c>
      <c r="D86" s="16" t="s">
        <v>6</v>
      </c>
      <c r="E86" s="17">
        <f>115088842.78/1000</f>
        <v>115088.84278000001</v>
      </c>
      <c r="F86" s="17">
        <f>133437409.196241/1000</f>
        <v>133437.409196241</v>
      </c>
      <c r="G86" s="28">
        <f>142184083.079226/1000</f>
        <v>142184.08307922599</v>
      </c>
      <c r="H86" s="28">
        <f>145872125.987519/1000</f>
        <v>145872.12598751899</v>
      </c>
      <c r="I86" s="28">
        <f>145785827.112602/1000</f>
        <v>145785.82711260198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</row>
    <row r="87" spans="1:237" ht="47.25" customHeight="1" x14ac:dyDescent="0.25">
      <c r="A87" s="49" t="s">
        <v>97</v>
      </c>
      <c r="B87" s="50" t="s">
        <v>121</v>
      </c>
      <c r="C87" s="15" t="s">
        <v>83</v>
      </c>
      <c r="D87" s="16" t="s">
        <v>82</v>
      </c>
      <c r="E87" s="17">
        <v>3.8</v>
      </c>
      <c r="F87" s="17">
        <v>1.9</v>
      </c>
      <c r="G87" s="28">
        <v>0.7</v>
      </c>
      <c r="H87" s="28">
        <v>0</v>
      </c>
      <c r="I87" s="28">
        <v>0</v>
      </c>
      <c r="J87" s="3"/>
      <c r="K87" s="3"/>
      <c r="L87" s="3"/>
      <c r="M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</row>
    <row r="88" spans="1:237" ht="61.5" customHeight="1" x14ac:dyDescent="0.25">
      <c r="A88" s="49"/>
      <c r="B88" s="51"/>
      <c r="C88" s="15" t="s">
        <v>5</v>
      </c>
      <c r="D88" s="16" t="s">
        <v>6</v>
      </c>
      <c r="E88" s="17">
        <f>985213.51/1000</f>
        <v>985.21351000000004</v>
      </c>
      <c r="F88" s="17">
        <f>420355.08951842/1000</f>
        <v>420.35508951842002</v>
      </c>
      <c r="G88" s="28">
        <f>340176.29121753/1000</f>
        <v>340.17629121752998</v>
      </c>
      <c r="H88" s="28">
        <v>0</v>
      </c>
      <c r="I88" s="28">
        <v>0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</row>
    <row r="89" spans="1:237" ht="47.25" customHeight="1" x14ac:dyDescent="0.25">
      <c r="A89" s="49" t="s">
        <v>98</v>
      </c>
      <c r="B89" s="50" t="s">
        <v>122</v>
      </c>
      <c r="C89" s="15" t="s">
        <v>83</v>
      </c>
      <c r="D89" s="16" t="s">
        <v>82</v>
      </c>
      <c r="E89" s="17">
        <v>1.3</v>
      </c>
      <c r="F89" s="17">
        <v>3.4</v>
      </c>
      <c r="G89" s="28">
        <v>5</v>
      </c>
      <c r="H89" s="28">
        <v>4.1000000000000005</v>
      </c>
      <c r="I89" s="28">
        <v>2</v>
      </c>
      <c r="J89" s="3"/>
      <c r="K89" s="3"/>
      <c r="L89" s="3"/>
      <c r="M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</row>
    <row r="90" spans="1:237" ht="61.5" customHeight="1" x14ac:dyDescent="0.25">
      <c r="A90" s="49"/>
      <c r="B90" s="51"/>
      <c r="C90" s="15" t="s">
        <v>5</v>
      </c>
      <c r="D90" s="16" t="s">
        <v>6</v>
      </c>
      <c r="E90" s="17">
        <f>392897.37/1000</f>
        <v>392.89737000000002</v>
      </c>
      <c r="F90" s="17">
        <f>1121597.68871442/1000</f>
        <v>1121.59768871442</v>
      </c>
      <c r="G90" s="28">
        <f>1565530.29079154/1000</f>
        <v>1565.53029079154</v>
      </c>
      <c r="H90" s="28">
        <f>1400011.376296/1000</f>
        <v>1400.011376296</v>
      </c>
      <c r="I90" s="28">
        <f>702149.062780269/1000</f>
        <v>702.14906278026899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</row>
    <row r="91" spans="1:237" ht="47.25" customHeight="1" x14ac:dyDescent="0.25">
      <c r="A91" s="49" t="s">
        <v>129</v>
      </c>
      <c r="B91" s="50" t="s">
        <v>56</v>
      </c>
      <c r="C91" s="15" t="s">
        <v>83</v>
      </c>
      <c r="D91" s="16" t="s">
        <v>82</v>
      </c>
      <c r="E91" s="17">
        <v>403.8</v>
      </c>
      <c r="F91" s="17">
        <v>420.1</v>
      </c>
      <c r="G91" s="28">
        <v>460.29999999999995</v>
      </c>
      <c r="H91" s="28">
        <v>489.6</v>
      </c>
      <c r="I91" s="28">
        <v>497.4</v>
      </c>
      <c r="J91" s="3"/>
      <c r="K91" s="3"/>
      <c r="L91" s="3"/>
      <c r="M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</row>
    <row r="92" spans="1:237" ht="61.5" customHeight="1" x14ac:dyDescent="0.25">
      <c r="A92" s="49"/>
      <c r="B92" s="51"/>
      <c r="C92" s="15" t="s">
        <v>5</v>
      </c>
      <c r="D92" s="16" t="s">
        <v>6</v>
      </c>
      <c r="E92" s="17">
        <f>80489284.75/1000</f>
        <v>80489.284750000006</v>
      </c>
      <c r="F92" s="17">
        <f>91522010.4194492/1000</f>
        <v>91522.010419449201</v>
      </c>
      <c r="G92" s="28">
        <f>101927540.315256/1000</f>
        <v>101927.540315256</v>
      </c>
      <c r="H92" s="28">
        <f>109356160.820449/1000</f>
        <v>109356.16082044899</v>
      </c>
      <c r="I92" s="28">
        <f>115153779.298011/1000</f>
        <v>115153.77929801101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</row>
    <row r="93" spans="1:237" ht="47.25" customHeight="1" x14ac:dyDescent="0.25">
      <c r="A93" s="49" t="s">
        <v>130</v>
      </c>
      <c r="B93" s="50" t="s">
        <v>123</v>
      </c>
      <c r="C93" s="15" t="s">
        <v>83</v>
      </c>
      <c r="D93" s="16" t="s">
        <v>82</v>
      </c>
      <c r="E93" s="17">
        <v>1.4</v>
      </c>
      <c r="F93" s="17">
        <v>1.1000000000000001</v>
      </c>
      <c r="G93" s="28">
        <v>2</v>
      </c>
      <c r="H93" s="28">
        <v>1.7</v>
      </c>
      <c r="I93" s="28">
        <v>1</v>
      </c>
      <c r="J93" s="3"/>
      <c r="K93" s="3"/>
      <c r="L93" s="3"/>
      <c r="M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</row>
    <row r="94" spans="1:237" ht="61.5" customHeight="1" x14ac:dyDescent="0.25">
      <c r="A94" s="49"/>
      <c r="B94" s="51"/>
      <c r="C94" s="15" t="s">
        <v>5</v>
      </c>
      <c r="D94" s="16" t="s">
        <v>6</v>
      </c>
      <c r="E94" s="17">
        <f>413055.57/1000</f>
        <v>413.05556999999999</v>
      </c>
      <c r="F94" s="17">
        <f>291622.623284242/1000</f>
        <v>291.62262328424202</v>
      </c>
      <c r="G94" s="28">
        <f>571051.54340836/1000</f>
        <v>571.05154340835998</v>
      </c>
      <c r="H94" s="28">
        <f>487022.6375/1000</f>
        <v>487.02263750000003</v>
      </c>
      <c r="I94" s="28">
        <f>295152.458006719/1000</f>
        <v>295.15245800671903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</row>
    <row r="95" spans="1:237" ht="47.25" customHeight="1" x14ac:dyDescent="0.25">
      <c r="A95" s="49" t="s">
        <v>131</v>
      </c>
      <c r="B95" s="50" t="s">
        <v>124</v>
      </c>
      <c r="C95" s="15" t="s">
        <v>83</v>
      </c>
      <c r="D95" s="16" t="s">
        <v>82</v>
      </c>
      <c r="E95" s="17">
        <v>16.100000000000001</v>
      </c>
      <c r="F95" s="17">
        <v>18.100000000000001</v>
      </c>
      <c r="G95" s="28">
        <v>19</v>
      </c>
      <c r="H95" s="28">
        <v>17.7</v>
      </c>
      <c r="I95" s="28">
        <v>15</v>
      </c>
      <c r="J95" s="3"/>
      <c r="K95" s="3"/>
      <c r="L95" s="3"/>
      <c r="M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</row>
    <row r="96" spans="1:237" ht="61.5" customHeight="1" x14ac:dyDescent="0.25">
      <c r="A96" s="49"/>
      <c r="B96" s="51"/>
      <c r="C96" s="15" t="s">
        <v>5</v>
      </c>
      <c r="D96" s="16" t="s">
        <v>6</v>
      </c>
      <c r="E96" s="17">
        <f>4379704.67/1000</f>
        <v>4379.7046700000001</v>
      </c>
      <c r="F96" s="17">
        <f>5679775.42116546/1000</f>
        <v>5679.7754211654601</v>
      </c>
      <c r="G96" s="28">
        <f>5622698.49515554/1000</f>
        <v>5622.6984951555405</v>
      </c>
      <c r="H96" s="28">
        <f>5029515.31321924/1000</f>
        <v>5029.5153132192399</v>
      </c>
      <c r="I96" s="28">
        <f>4150196.3143826/1000</f>
        <v>4150.1963143826006</v>
      </c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</row>
    <row r="97" spans="1:237" ht="47.25" customHeight="1" x14ac:dyDescent="0.25">
      <c r="A97" s="49" t="s">
        <v>132</v>
      </c>
      <c r="B97" s="50" t="s">
        <v>125</v>
      </c>
      <c r="C97" s="15" t="s">
        <v>83</v>
      </c>
      <c r="D97" s="16" t="s">
        <v>82</v>
      </c>
      <c r="E97" s="17">
        <v>1.6</v>
      </c>
      <c r="F97" s="17">
        <v>3.5</v>
      </c>
      <c r="G97" s="28">
        <v>2.7</v>
      </c>
      <c r="H97" s="28">
        <v>0</v>
      </c>
      <c r="I97" s="28">
        <v>0</v>
      </c>
      <c r="J97" s="3"/>
      <c r="K97" s="3"/>
      <c r="L97" s="3"/>
      <c r="M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</row>
    <row r="98" spans="1:237" ht="61.5" customHeight="1" x14ac:dyDescent="0.25">
      <c r="A98" s="49"/>
      <c r="B98" s="51"/>
      <c r="C98" s="15" t="s">
        <v>5</v>
      </c>
      <c r="D98" s="16" t="s">
        <v>6</v>
      </c>
      <c r="E98" s="17">
        <f>10320.24/1000</f>
        <v>10.32024</v>
      </c>
      <c r="F98" s="17">
        <f>46668.1144769285/1000</f>
        <v>46.668114476928501</v>
      </c>
      <c r="G98" s="28">
        <f>36394.266124757/1000</f>
        <v>36.394266124757003</v>
      </c>
      <c r="H98" s="28">
        <v>0</v>
      </c>
      <c r="I98" s="28"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</row>
    <row r="99" spans="1:237" ht="47.25" customHeight="1" x14ac:dyDescent="0.25">
      <c r="A99" s="49" t="s">
        <v>145</v>
      </c>
      <c r="B99" s="50" t="s">
        <v>139</v>
      </c>
      <c r="C99" s="15" t="s">
        <v>83</v>
      </c>
      <c r="D99" s="16" t="s">
        <v>82</v>
      </c>
      <c r="E99" s="17">
        <v>0</v>
      </c>
      <c r="F99" s="17">
        <v>1</v>
      </c>
      <c r="G99" s="28">
        <v>0.7</v>
      </c>
      <c r="H99" s="28">
        <v>0</v>
      </c>
      <c r="I99" s="28">
        <v>0</v>
      </c>
      <c r="J99" s="3"/>
      <c r="K99" s="3"/>
      <c r="L99" s="3"/>
      <c r="M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</row>
    <row r="100" spans="1:237" ht="61.5" customHeight="1" x14ac:dyDescent="0.25">
      <c r="A100" s="49"/>
      <c r="B100" s="51"/>
      <c r="C100" s="15" t="s">
        <v>5</v>
      </c>
      <c r="D100" s="16" t="s">
        <v>6</v>
      </c>
      <c r="E100" s="17">
        <v>0</v>
      </c>
      <c r="F100" s="17">
        <f>20638.7484402196/1000</f>
        <v>20.638748440219597</v>
      </c>
      <c r="G100" s="17">
        <f>9768.04019292604/1000</f>
        <v>9.7680401929260405</v>
      </c>
      <c r="H100" s="17">
        <v>0</v>
      </c>
      <c r="I100" s="17">
        <v>0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</row>
    <row r="101" spans="1:237" ht="61.5" customHeight="1" x14ac:dyDescent="0.25">
      <c r="A101" s="18"/>
      <c r="B101" s="29" t="s">
        <v>102</v>
      </c>
      <c r="C101" s="20" t="s">
        <v>83</v>
      </c>
      <c r="D101" s="21"/>
      <c r="E101" s="22">
        <f t="shared" ref="E101:I101" si="5">E75+E85+E99+E77+E79+E81+E83+E87+E89+E91+E93+E95+E97</f>
        <v>2953.8000000000006</v>
      </c>
      <c r="F101" s="22">
        <f t="shared" si="5"/>
        <v>2996</v>
      </c>
      <c r="G101" s="22">
        <f t="shared" si="5"/>
        <v>3070.7999999999993</v>
      </c>
      <c r="H101" s="22">
        <f t="shared" si="5"/>
        <v>3130.2999999999993</v>
      </c>
      <c r="I101" s="22">
        <f t="shared" si="5"/>
        <v>3124.1000000000004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</row>
    <row r="102" spans="1:237" ht="47.25" customHeight="1" x14ac:dyDescent="0.25">
      <c r="A102" s="49" t="s">
        <v>146</v>
      </c>
      <c r="B102" s="50" t="s">
        <v>57</v>
      </c>
      <c r="C102" s="15" t="s">
        <v>83</v>
      </c>
      <c r="D102" s="16" t="s">
        <v>82</v>
      </c>
      <c r="E102" s="17">
        <v>541.70000000000005</v>
      </c>
      <c r="F102" s="17">
        <v>504.6</v>
      </c>
      <c r="G102" s="17">
        <v>511.7</v>
      </c>
      <c r="H102" s="17">
        <v>514.29999999999995</v>
      </c>
      <c r="I102" s="17">
        <v>505.3</v>
      </c>
      <c r="J102" s="3"/>
      <c r="K102" s="3"/>
      <c r="L102" s="3"/>
      <c r="M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</row>
    <row r="103" spans="1:237" ht="61.5" customHeight="1" x14ac:dyDescent="0.25">
      <c r="A103" s="49"/>
      <c r="B103" s="51"/>
      <c r="C103" s="15" t="s">
        <v>5</v>
      </c>
      <c r="D103" s="16" t="s">
        <v>6</v>
      </c>
      <c r="E103" s="17">
        <f>55040366.68/1000</f>
        <v>55040.366679999999</v>
      </c>
      <c r="F103" s="17">
        <f>58401119.22096/1000</f>
        <v>58401.119220959998</v>
      </c>
      <c r="G103" s="17">
        <f>60747383.4057756/1000</f>
        <v>60747.383405775596</v>
      </c>
      <c r="H103" s="17">
        <f>62056150.9924951/1000</f>
        <v>62056.150992495095</v>
      </c>
      <c r="I103" s="17">
        <f>62908885.17709/1000</f>
        <v>62908.88517709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</row>
    <row r="104" spans="1:237" ht="47.25" customHeight="1" x14ac:dyDescent="0.25">
      <c r="A104" s="49" t="s">
        <v>147</v>
      </c>
      <c r="B104" s="50" t="s">
        <v>126</v>
      </c>
      <c r="C104" s="15" t="s">
        <v>83</v>
      </c>
      <c r="D104" s="16" t="s">
        <v>82</v>
      </c>
      <c r="E104" s="17">
        <v>2</v>
      </c>
      <c r="F104" s="17">
        <v>0.7</v>
      </c>
      <c r="G104" s="17">
        <v>0</v>
      </c>
      <c r="H104" s="17">
        <v>0</v>
      </c>
      <c r="I104" s="17">
        <v>0</v>
      </c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</row>
    <row r="105" spans="1:237" ht="61.5" customHeight="1" x14ac:dyDescent="0.25">
      <c r="A105" s="49"/>
      <c r="B105" s="51"/>
      <c r="C105" s="15" t="s">
        <v>5</v>
      </c>
      <c r="D105" s="16" t="s">
        <v>6</v>
      </c>
      <c r="E105" s="17">
        <f>484386.73/1000</f>
        <v>484.38673</v>
      </c>
      <c r="F105" s="17">
        <f>164036.553900444/1000</f>
        <v>164.03655390044401</v>
      </c>
      <c r="G105" s="17">
        <v>0</v>
      </c>
      <c r="H105" s="17">
        <v>0</v>
      </c>
      <c r="I105" s="17">
        <v>0</v>
      </c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</row>
    <row r="106" spans="1:237" ht="47.25" customHeight="1" x14ac:dyDescent="0.25">
      <c r="A106" s="49" t="s">
        <v>148</v>
      </c>
      <c r="B106" s="50" t="s">
        <v>127</v>
      </c>
      <c r="C106" s="15" t="s">
        <v>83</v>
      </c>
      <c r="D106" s="16" t="s">
        <v>82</v>
      </c>
      <c r="E106" s="17">
        <v>0.7</v>
      </c>
      <c r="F106" s="17">
        <v>0</v>
      </c>
      <c r="G106" s="17">
        <v>0</v>
      </c>
      <c r="H106" s="17">
        <v>0</v>
      </c>
      <c r="I106" s="17"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</row>
    <row r="107" spans="1:237" ht="61.5" customHeight="1" x14ac:dyDescent="0.25">
      <c r="A107" s="49"/>
      <c r="B107" s="51"/>
      <c r="C107" s="15" t="s">
        <v>5</v>
      </c>
      <c r="D107" s="16" t="s">
        <v>6</v>
      </c>
      <c r="E107" s="17">
        <f>235373.76/1000</f>
        <v>235.37376</v>
      </c>
      <c r="F107" s="17">
        <v>0</v>
      </c>
      <c r="G107" s="17">
        <v>0</v>
      </c>
      <c r="H107" s="17">
        <v>0</v>
      </c>
      <c r="I107" s="17"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</row>
    <row r="108" spans="1:237" ht="47.25" customHeight="1" x14ac:dyDescent="0.25">
      <c r="A108" s="66" t="s">
        <v>149</v>
      </c>
      <c r="B108" s="50" t="s">
        <v>138</v>
      </c>
      <c r="C108" s="15" t="s">
        <v>83</v>
      </c>
      <c r="D108" s="16" t="s">
        <v>82</v>
      </c>
      <c r="E108" s="17">
        <v>0</v>
      </c>
      <c r="F108" s="17">
        <v>0.2</v>
      </c>
      <c r="G108" s="17">
        <v>0</v>
      </c>
      <c r="H108" s="17">
        <v>0</v>
      </c>
      <c r="I108" s="17">
        <v>0</v>
      </c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</row>
    <row r="109" spans="1:237" ht="61.5" customHeight="1" x14ac:dyDescent="0.25">
      <c r="A109" s="67"/>
      <c r="B109" s="51"/>
      <c r="C109" s="15" t="s">
        <v>5</v>
      </c>
      <c r="D109" s="16" t="s">
        <v>6</v>
      </c>
      <c r="E109" s="17">
        <v>0</v>
      </c>
      <c r="F109" s="17">
        <f>13184.4786408078/1000</f>
        <v>13.1844786408078</v>
      </c>
      <c r="G109" s="17">
        <v>0</v>
      </c>
      <c r="H109" s="17">
        <v>0</v>
      </c>
      <c r="I109" s="17">
        <v>0</v>
      </c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</row>
    <row r="110" spans="1:237" ht="47.25" customHeight="1" x14ac:dyDescent="0.25">
      <c r="A110" s="66" t="s">
        <v>150</v>
      </c>
      <c r="B110" s="50" t="s">
        <v>128</v>
      </c>
      <c r="C110" s="15" t="s">
        <v>83</v>
      </c>
      <c r="D110" s="16" t="s">
        <v>82</v>
      </c>
      <c r="E110" s="17">
        <v>0.5</v>
      </c>
      <c r="F110" s="17">
        <v>1.8</v>
      </c>
      <c r="G110" s="17">
        <v>0</v>
      </c>
      <c r="H110" s="17">
        <v>0</v>
      </c>
      <c r="I110" s="17"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</row>
    <row r="111" spans="1:237" ht="61.5" customHeight="1" x14ac:dyDescent="0.25">
      <c r="A111" s="67"/>
      <c r="B111" s="51"/>
      <c r="C111" s="15" t="s">
        <v>5</v>
      </c>
      <c r="D111" s="16" t="s">
        <v>6</v>
      </c>
      <c r="E111" s="17">
        <f>3079.32/1000</f>
        <v>3.0793200000000001</v>
      </c>
      <c r="F111" s="17">
        <f>22762.1045676341/1000</f>
        <v>22.762104567634097</v>
      </c>
      <c r="G111" s="17">
        <v>0</v>
      </c>
      <c r="H111" s="17">
        <v>0</v>
      </c>
      <c r="I111" s="17"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</row>
    <row r="112" spans="1:237" ht="61.5" customHeight="1" x14ac:dyDescent="0.25">
      <c r="A112" s="18"/>
      <c r="B112" s="29" t="s">
        <v>103</v>
      </c>
      <c r="C112" s="20"/>
      <c r="D112" s="21"/>
      <c r="E112" s="22">
        <f>E110+E102+E104+E106+E108</f>
        <v>544.90000000000009</v>
      </c>
      <c r="F112" s="22">
        <f>F110+F102+F104+F106+F108</f>
        <v>507.3</v>
      </c>
      <c r="G112" s="22">
        <f t="shared" ref="G112:I112" si="6">G110+G102+G104+G106</f>
        <v>511.7</v>
      </c>
      <c r="H112" s="22">
        <f t="shared" si="6"/>
        <v>514.29999999999995</v>
      </c>
      <c r="I112" s="22">
        <f t="shared" si="6"/>
        <v>505.3</v>
      </c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</row>
    <row r="113" spans="1:237" ht="61.5" customHeight="1" x14ac:dyDescent="0.25">
      <c r="A113" s="18"/>
      <c r="B113" s="19" t="s">
        <v>104</v>
      </c>
      <c r="C113" s="20"/>
      <c r="D113" s="21"/>
      <c r="E113" s="22">
        <f>E74+E101+E112</f>
        <v>6038.9000000000015</v>
      </c>
      <c r="F113" s="22">
        <f>F74+F101+F112</f>
        <v>6027.4</v>
      </c>
      <c r="G113" s="22">
        <f>G74+G101+G112</f>
        <v>6009.2999999999984</v>
      </c>
      <c r="H113" s="22">
        <f t="shared" ref="H113:I113" si="7">H74+H101+H112</f>
        <v>5976.7999999999993</v>
      </c>
      <c r="I113" s="22">
        <f t="shared" si="7"/>
        <v>5871.6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</row>
    <row r="114" spans="1:237" ht="47.25" customHeight="1" x14ac:dyDescent="0.25">
      <c r="A114" s="49" t="s">
        <v>151</v>
      </c>
      <c r="B114" s="50" t="s">
        <v>58</v>
      </c>
      <c r="C114" s="15" t="s">
        <v>83</v>
      </c>
      <c r="D114" s="16" t="s">
        <v>82</v>
      </c>
      <c r="E114" s="17">
        <v>2288.89</v>
      </c>
      <c r="F114" s="17">
        <v>2219.8571392207791</v>
      </c>
      <c r="G114" s="17">
        <v>2419.7999999999997</v>
      </c>
      <c r="H114" s="17">
        <v>2419.7999999999997</v>
      </c>
      <c r="I114" s="17">
        <v>2419.7999999999997</v>
      </c>
      <c r="J114" s="3"/>
      <c r="K114" s="3"/>
      <c r="L114" s="3"/>
      <c r="M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</row>
    <row r="115" spans="1:237" ht="61.5" customHeight="1" x14ac:dyDescent="0.25">
      <c r="A115" s="49"/>
      <c r="B115" s="51"/>
      <c r="C115" s="15" t="s">
        <v>5</v>
      </c>
      <c r="D115" s="16" t="s">
        <v>6</v>
      </c>
      <c r="E115" s="17">
        <f>17094436.79/1000</f>
        <v>17094.43679</v>
      </c>
      <c r="F115" s="17">
        <v>41223.187270000002</v>
      </c>
      <c r="G115" s="17">
        <f>50588705.51/1000</f>
        <v>50588.70551</v>
      </c>
      <c r="H115" s="17">
        <f>52953304/1000</f>
        <v>52953.303999999996</v>
      </c>
      <c r="I115" s="17">
        <f>54939154/1000</f>
        <v>54939.154000000002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</row>
    <row r="116" spans="1:237" s="8" customFormat="1" ht="15.65" x14ac:dyDescent="0.25">
      <c r="A116" s="30"/>
      <c r="B116" s="31"/>
      <c r="C116" s="31"/>
      <c r="D116" s="31" t="s">
        <v>59</v>
      </c>
      <c r="E116" s="32"/>
      <c r="F116" s="32"/>
      <c r="G116" s="32"/>
      <c r="H116" s="32"/>
      <c r="I116" s="32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  <c r="HU116" s="7"/>
      <c r="HV116" s="7"/>
      <c r="HW116" s="7"/>
      <c r="HX116" s="7"/>
      <c r="HY116" s="7"/>
      <c r="HZ116" s="7"/>
      <c r="IA116" s="7"/>
      <c r="IB116" s="7"/>
      <c r="IC116" s="7"/>
    </row>
    <row r="117" spans="1:237" ht="47.25" customHeight="1" x14ac:dyDescent="0.25">
      <c r="A117" s="49" t="s">
        <v>152</v>
      </c>
      <c r="B117" s="50" t="s">
        <v>133</v>
      </c>
      <c r="C117" s="15" t="s">
        <v>83</v>
      </c>
      <c r="D117" s="16" t="s">
        <v>82</v>
      </c>
      <c r="E117" s="17">
        <v>5288.34</v>
      </c>
      <c r="F117" s="17">
        <v>3559.2571392207801</v>
      </c>
      <c r="G117" s="17">
        <v>3828.7999999999997</v>
      </c>
      <c r="H117" s="17">
        <v>3764.7999999999997</v>
      </c>
      <c r="I117" s="17">
        <v>3764.7999999999997</v>
      </c>
      <c r="J117" s="3"/>
      <c r="K117" s="3"/>
      <c r="L117" s="3"/>
      <c r="M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</row>
    <row r="118" spans="1:237" ht="61.5" customHeight="1" x14ac:dyDescent="0.25">
      <c r="A118" s="49"/>
      <c r="B118" s="51"/>
      <c r="C118" s="15" t="s">
        <v>5</v>
      </c>
      <c r="D118" s="16" t="s">
        <v>6</v>
      </c>
      <c r="E118" s="17">
        <f>41940842.12/1000</f>
        <v>41940.842119999994</v>
      </c>
      <c r="F118" s="17">
        <v>39867.030070000001</v>
      </c>
      <c r="G118" s="17">
        <f>44698734.78/1000</f>
        <v>44698.734779999999</v>
      </c>
      <c r="H118" s="17">
        <f>46370393.4/1000</f>
        <v>46370.393400000001</v>
      </c>
      <c r="I118" s="17">
        <f>48293923/1000</f>
        <v>48293.923000000003</v>
      </c>
      <c r="J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</row>
    <row r="119" spans="1:237" ht="47.25" customHeight="1" x14ac:dyDescent="0.25">
      <c r="A119" s="49" t="s">
        <v>153</v>
      </c>
      <c r="B119" s="50" t="s">
        <v>89</v>
      </c>
      <c r="C119" s="15" t="s">
        <v>84</v>
      </c>
      <c r="D119" s="16" t="s">
        <v>85</v>
      </c>
      <c r="E119" s="17">
        <v>83434</v>
      </c>
      <c r="F119" s="17">
        <v>66873</v>
      </c>
      <c r="G119" s="17">
        <v>66478</v>
      </c>
      <c r="H119" s="17">
        <v>61701</v>
      </c>
      <c r="I119" s="17">
        <v>58120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</row>
    <row r="120" spans="1:237" ht="61.5" customHeight="1" x14ac:dyDescent="0.25">
      <c r="A120" s="49"/>
      <c r="B120" s="51"/>
      <c r="C120" s="15" t="s">
        <v>5</v>
      </c>
      <c r="D120" s="16" t="s">
        <v>6</v>
      </c>
      <c r="E120" s="17">
        <f>17306914.33/1000</f>
        <v>17306.91433</v>
      </c>
      <c r="F120" s="17">
        <f>14058931.68/1000</f>
        <v>14058.93168</v>
      </c>
      <c r="G120" s="17">
        <f>15458956.11/1000</f>
        <v>15458.956109999999</v>
      </c>
      <c r="H120" s="17">
        <f>18142648.41/1000</f>
        <v>18142.648410000002</v>
      </c>
      <c r="I120" s="17">
        <f>18222946.81/1000</f>
        <v>18222.946809999998</v>
      </c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</row>
    <row r="121" spans="1:237" ht="47.25" customHeight="1" x14ac:dyDescent="0.25">
      <c r="A121" s="49" t="s">
        <v>154</v>
      </c>
      <c r="B121" s="50" t="s">
        <v>91</v>
      </c>
      <c r="C121" s="15" t="s">
        <v>84</v>
      </c>
      <c r="D121" s="16" t="s">
        <v>85</v>
      </c>
      <c r="E121" s="17">
        <v>62682</v>
      </c>
      <c r="F121" s="17">
        <v>62266.5</v>
      </c>
      <c r="G121" s="17">
        <v>61330</v>
      </c>
      <c r="H121" s="17">
        <v>60962</v>
      </c>
      <c r="I121" s="17">
        <v>61209</v>
      </c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</row>
    <row r="122" spans="1:237" ht="61.5" customHeight="1" x14ac:dyDescent="0.25">
      <c r="A122" s="49"/>
      <c r="B122" s="51"/>
      <c r="C122" s="15" t="s">
        <v>5</v>
      </c>
      <c r="D122" s="16" t="s">
        <v>6</v>
      </c>
      <c r="E122" s="17">
        <f>13002277.29/1000</f>
        <v>13002.27729</v>
      </c>
      <c r="F122" s="17">
        <f>13090491.97/1000</f>
        <v>13090.491970000001</v>
      </c>
      <c r="G122" s="17">
        <f>14261827.65/1000</f>
        <v>14261.827650000001</v>
      </c>
      <c r="H122" s="17">
        <f>17925351.81/1000</f>
        <v>17925.35181</v>
      </c>
      <c r="I122" s="17">
        <f>19191471.97/1000</f>
        <v>19191.471969999999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</row>
    <row r="123" spans="1:237" ht="47.25" customHeight="1" x14ac:dyDescent="0.25">
      <c r="A123" s="49" t="s">
        <v>155</v>
      </c>
      <c r="B123" s="50" t="s">
        <v>92</v>
      </c>
      <c r="C123" s="15" t="s">
        <v>84</v>
      </c>
      <c r="D123" s="16" t="s">
        <v>85</v>
      </c>
      <c r="E123" s="17">
        <v>10258.5</v>
      </c>
      <c r="F123" s="17">
        <v>10540</v>
      </c>
      <c r="G123" s="17">
        <v>10812</v>
      </c>
      <c r="H123" s="17">
        <v>10780</v>
      </c>
      <c r="I123" s="17">
        <v>10676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</row>
    <row r="124" spans="1:237" ht="61.5" customHeight="1" x14ac:dyDescent="0.25">
      <c r="A124" s="49"/>
      <c r="B124" s="51"/>
      <c r="C124" s="15" t="s">
        <v>5</v>
      </c>
      <c r="D124" s="16" t="s">
        <v>6</v>
      </c>
      <c r="E124" s="17">
        <f>2127945.21/1000</f>
        <v>2127.9452099999999</v>
      </c>
      <c r="F124" s="17">
        <f>2215859.01/1000</f>
        <v>2215.8590099999997</v>
      </c>
      <c r="G124" s="17">
        <f>2514248.83/1000</f>
        <v>2514.24883</v>
      </c>
      <c r="H124" s="17">
        <f>3169766.29/1000</f>
        <v>3169.76629</v>
      </c>
      <c r="I124" s="17">
        <f>3347353.41/1000</f>
        <v>3347.3534100000002</v>
      </c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</row>
    <row r="125" spans="1:237" ht="47.25" customHeight="1" x14ac:dyDescent="0.25">
      <c r="A125" s="49" t="s">
        <v>156</v>
      </c>
      <c r="B125" s="50" t="s">
        <v>93</v>
      </c>
      <c r="C125" s="15" t="s">
        <v>84</v>
      </c>
      <c r="D125" s="16" t="s">
        <v>85</v>
      </c>
      <c r="E125" s="17">
        <v>45795</v>
      </c>
      <c r="F125" s="17">
        <v>46158</v>
      </c>
      <c r="G125" s="17">
        <v>43302</v>
      </c>
      <c r="H125" s="17">
        <v>43924</v>
      </c>
      <c r="I125" s="17">
        <v>43546</v>
      </c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</row>
    <row r="126" spans="1:237" ht="61.5" customHeight="1" x14ac:dyDescent="0.25">
      <c r="A126" s="49"/>
      <c r="B126" s="51"/>
      <c r="C126" s="15" t="s">
        <v>5</v>
      </c>
      <c r="D126" s="16" t="s">
        <v>6</v>
      </c>
      <c r="E126" s="17">
        <f>9499366.46/10000</f>
        <v>949.93664600000011</v>
      </c>
      <c r="F126" s="17">
        <f>9703948.8/1000</f>
        <v>9703.9488000000001</v>
      </c>
      <c r="G126" s="17">
        <f>10069552.6/1000</f>
        <v>10069.552599999999</v>
      </c>
      <c r="H126" s="17">
        <f>12915474.44/1000</f>
        <v>12915.47444</v>
      </c>
      <c r="I126" s="17">
        <f>13653414.34/1000</f>
        <v>13653.414339999999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</row>
    <row r="127" spans="1:237" ht="47.25" customHeight="1" x14ac:dyDescent="0.25">
      <c r="A127" s="49" t="s">
        <v>157</v>
      </c>
      <c r="B127" s="50" t="s">
        <v>90</v>
      </c>
      <c r="C127" s="15" t="s">
        <v>84</v>
      </c>
      <c r="D127" s="16" t="s">
        <v>85</v>
      </c>
      <c r="E127" s="17">
        <v>832.5</v>
      </c>
      <c r="F127" s="17">
        <v>495</v>
      </c>
      <c r="G127" s="17">
        <v>4200</v>
      </c>
      <c r="H127" s="17">
        <v>4200</v>
      </c>
      <c r="I127" s="17">
        <v>5160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</row>
    <row r="128" spans="1:237" ht="61.5" customHeight="1" x14ac:dyDescent="0.25">
      <c r="A128" s="49"/>
      <c r="B128" s="51"/>
      <c r="C128" s="15" t="s">
        <v>5</v>
      </c>
      <c r="D128" s="16" t="s">
        <v>6</v>
      </c>
      <c r="E128" s="17">
        <f>172687.47/1000</f>
        <v>172.68746999999999</v>
      </c>
      <c r="F128" s="17">
        <f>104065.49/1000</f>
        <v>104.06549000000001</v>
      </c>
      <c r="G128" s="17">
        <f>976678.23/1000</f>
        <v>976.67822999999999</v>
      </c>
      <c r="H128" s="17">
        <f>1234973.88/1000</f>
        <v>1234.9738799999998</v>
      </c>
      <c r="I128" s="17">
        <f>1617866.58/1000</f>
        <v>1617.8665800000001</v>
      </c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</row>
    <row r="129" spans="1:237" ht="47.25" customHeight="1" x14ac:dyDescent="0.25">
      <c r="A129" s="49" t="s">
        <v>158</v>
      </c>
      <c r="B129" s="50" t="s">
        <v>140</v>
      </c>
      <c r="C129" s="15" t="s">
        <v>84</v>
      </c>
      <c r="D129" s="16" t="s">
        <v>85</v>
      </c>
      <c r="E129" s="17">
        <v>0</v>
      </c>
      <c r="F129" s="17">
        <v>594</v>
      </c>
      <c r="G129" s="17">
        <v>1260</v>
      </c>
      <c r="H129" s="17">
        <v>1260</v>
      </c>
      <c r="I129" s="17">
        <v>1260</v>
      </c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</row>
    <row r="130" spans="1:237" ht="61.5" customHeight="1" x14ac:dyDescent="0.25">
      <c r="A130" s="49"/>
      <c r="B130" s="51"/>
      <c r="C130" s="15" t="s">
        <v>5</v>
      </c>
      <c r="D130" s="16" t="s">
        <v>6</v>
      </c>
      <c r="E130" s="17">
        <v>0</v>
      </c>
      <c r="F130" s="17">
        <f>124878.58/1000</f>
        <v>124.87858</v>
      </c>
      <c r="G130" s="17">
        <f>293003.47/1000</f>
        <v>293.00346999999999</v>
      </c>
      <c r="H130" s="17">
        <f>370492.16/1000</f>
        <v>370.49215999999996</v>
      </c>
      <c r="I130" s="17">
        <f>395060.44/1000</f>
        <v>395.06044000000003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/>
      <c r="IC130"/>
    </row>
    <row r="131" spans="1:237" ht="61.5" customHeight="1" x14ac:dyDescent="0.25">
      <c r="A131" s="18"/>
      <c r="B131" s="29" t="s">
        <v>105</v>
      </c>
      <c r="C131" s="20" t="s">
        <v>84</v>
      </c>
      <c r="D131" s="21"/>
      <c r="E131" s="22">
        <f>E119+E127+E121+E123+E125+E129</f>
        <v>203002</v>
      </c>
      <c r="F131" s="22">
        <f>F119+F127+F121+F123+F125+F129</f>
        <v>186926.5</v>
      </c>
      <c r="G131" s="22">
        <f>G119+G127+G121+G123+G125+G129</f>
        <v>187382</v>
      </c>
      <c r="H131" s="22">
        <f>H119+H127+H121+H123+H125+H129</f>
        <v>182827</v>
      </c>
      <c r="I131" s="22">
        <f>I119+I127+I121+I123+I125+I129</f>
        <v>179971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/>
      <c r="IC131"/>
    </row>
    <row r="132" spans="1:237" ht="47.25" customHeight="1" x14ac:dyDescent="0.25">
      <c r="A132" s="49" t="s">
        <v>159</v>
      </c>
      <c r="B132" s="64" t="s">
        <v>99</v>
      </c>
      <c r="C132" s="15" t="s">
        <v>86</v>
      </c>
      <c r="D132" s="16" t="s">
        <v>71</v>
      </c>
      <c r="E132" s="33">
        <v>102</v>
      </c>
      <c r="F132" s="33">
        <v>102</v>
      </c>
      <c r="G132" s="33">
        <v>102</v>
      </c>
      <c r="H132" s="33">
        <v>102</v>
      </c>
      <c r="I132" s="33">
        <v>102</v>
      </c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/>
      <c r="IC132"/>
    </row>
    <row r="133" spans="1:237" ht="119.25" customHeight="1" x14ac:dyDescent="0.25">
      <c r="A133" s="49"/>
      <c r="B133" s="65"/>
      <c r="C133" s="15" t="s">
        <v>5</v>
      </c>
      <c r="D133" s="16" t="s">
        <v>6</v>
      </c>
      <c r="E133" s="17">
        <f>3478027.48/1000</f>
        <v>3478.0274800000002</v>
      </c>
      <c r="F133" s="17">
        <f>7791303.29/1000</f>
        <v>7791.3032899999998</v>
      </c>
      <c r="G133" s="17">
        <f>4062781.63/1000</f>
        <v>4062.78163</v>
      </c>
      <c r="H133" s="17">
        <f>4348706.7/1000</f>
        <v>4348.7067000000006</v>
      </c>
      <c r="I133" s="17">
        <f>4654499.63/1000</f>
        <v>4654.4996300000003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/>
      <c r="IC133"/>
    </row>
    <row r="134" spans="1:237" ht="47.25" customHeight="1" x14ac:dyDescent="0.25">
      <c r="A134" s="49" t="s">
        <v>160</v>
      </c>
      <c r="B134" s="50" t="s">
        <v>68</v>
      </c>
      <c r="C134" s="34" t="s">
        <v>72</v>
      </c>
      <c r="D134" s="34" t="s">
        <v>70</v>
      </c>
      <c r="E134" s="17">
        <v>421.41</v>
      </c>
      <c r="F134" s="17">
        <v>421.4</v>
      </c>
      <c r="G134" s="17">
        <v>421.4</v>
      </c>
      <c r="H134" s="17">
        <v>421.4</v>
      </c>
      <c r="I134" s="17">
        <v>421.4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/>
      <c r="IC134"/>
    </row>
    <row r="135" spans="1:237" ht="61.5" customHeight="1" x14ac:dyDescent="0.25">
      <c r="A135" s="49"/>
      <c r="B135" s="51"/>
      <c r="C135" s="15" t="s">
        <v>5</v>
      </c>
      <c r="D135" s="16" t="s">
        <v>6</v>
      </c>
      <c r="E135" s="17">
        <f>11560777.41/1000</f>
        <v>11560.777410000001</v>
      </c>
      <c r="F135" s="17">
        <f>12378581.6/1000</f>
        <v>12378.5816</v>
      </c>
      <c r="G135" s="17">
        <f>13762172.47/1000</f>
        <v>13762.172470000001</v>
      </c>
      <c r="H135" s="17">
        <f>13935767.85/1000</f>
        <v>13935.76785</v>
      </c>
      <c r="I135" s="17">
        <f>14116219.51/1000</f>
        <v>14116.219509999999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/>
      <c r="IC135"/>
    </row>
    <row r="136" spans="1:237" ht="47.25" customHeight="1" x14ac:dyDescent="0.25">
      <c r="A136" s="49" t="s">
        <v>161</v>
      </c>
      <c r="B136" s="50" t="s">
        <v>69</v>
      </c>
      <c r="C136" s="34" t="s">
        <v>73</v>
      </c>
      <c r="D136" s="34" t="s">
        <v>71</v>
      </c>
      <c r="E136" s="17">
        <v>1549</v>
      </c>
      <c r="F136" s="17">
        <v>1549</v>
      </c>
      <c r="G136" s="17">
        <v>1549</v>
      </c>
      <c r="H136" s="17">
        <v>1549</v>
      </c>
      <c r="I136" s="17">
        <v>1549</v>
      </c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/>
      <c r="IC136"/>
    </row>
    <row r="137" spans="1:237" ht="61.5" customHeight="1" x14ac:dyDescent="0.25">
      <c r="A137" s="49"/>
      <c r="B137" s="51"/>
      <c r="C137" s="15" t="s">
        <v>5</v>
      </c>
      <c r="D137" s="16" t="s">
        <v>6</v>
      </c>
      <c r="E137" s="17">
        <f>10450737.42/1000</f>
        <v>10450.737419999999</v>
      </c>
      <c r="F137" s="17">
        <f>11313376.24/1000</f>
        <v>11313.37624</v>
      </c>
      <c r="G137" s="17">
        <f>12696967.11/1000</f>
        <v>12696.96711</v>
      </c>
      <c r="H137" s="17">
        <f>12870562.48/1000</f>
        <v>12870.562480000001</v>
      </c>
      <c r="I137" s="17">
        <f>13051014.15/1000</f>
        <v>13051.014150000001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/>
      <c r="IC137"/>
    </row>
    <row r="138" spans="1:237" ht="47.25" customHeight="1" x14ac:dyDescent="0.25">
      <c r="A138" s="49" t="s">
        <v>162</v>
      </c>
      <c r="B138" s="50" t="s">
        <v>141</v>
      </c>
      <c r="C138" s="15" t="s">
        <v>78</v>
      </c>
      <c r="D138" s="16" t="s">
        <v>79</v>
      </c>
      <c r="E138" s="17">
        <v>6234</v>
      </c>
      <c r="F138" s="17">
        <v>6234</v>
      </c>
      <c r="G138" s="17">
        <v>6234</v>
      </c>
      <c r="H138" s="17">
        <v>6234</v>
      </c>
      <c r="I138" s="17">
        <v>6234</v>
      </c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/>
      <c r="IC138"/>
    </row>
    <row r="139" spans="1:237" ht="61.5" customHeight="1" x14ac:dyDescent="0.25">
      <c r="A139" s="49"/>
      <c r="B139" s="51"/>
      <c r="C139" s="15" t="s">
        <v>5</v>
      </c>
      <c r="D139" s="16" t="s">
        <v>6</v>
      </c>
      <c r="E139" s="17">
        <f>21077792.98/1000</f>
        <v>21077.792980000002</v>
      </c>
      <c r="F139" s="17">
        <f>21342172.84/1000</f>
        <v>21342.172839999999</v>
      </c>
      <c r="G139" s="17">
        <f>22109182.09/1000</f>
        <v>22109.182089999998</v>
      </c>
      <c r="H139" s="17">
        <f>22936009.73/1000</f>
        <v>22936.009730000002</v>
      </c>
      <c r="I139" s="17">
        <f>23795916.8/1000</f>
        <v>23795.916799999999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/>
      <c r="IC139"/>
    </row>
    <row r="140" spans="1:237" ht="47.25" customHeight="1" x14ac:dyDescent="0.25">
      <c r="A140" s="49" t="s">
        <v>163</v>
      </c>
      <c r="B140" s="50" t="s">
        <v>142</v>
      </c>
      <c r="C140" s="15" t="s">
        <v>78</v>
      </c>
      <c r="D140" s="16" t="s">
        <v>79</v>
      </c>
      <c r="E140" s="17">
        <v>520</v>
      </c>
      <c r="F140" s="17">
        <v>520</v>
      </c>
      <c r="G140" s="17">
        <v>520</v>
      </c>
      <c r="H140" s="17">
        <v>520</v>
      </c>
      <c r="I140" s="17">
        <v>520</v>
      </c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/>
      <c r="IC140"/>
    </row>
    <row r="141" spans="1:237" ht="61.5" customHeight="1" x14ac:dyDescent="0.25">
      <c r="A141" s="49"/>
      <c r="B141" s="51"/>
      <c r="C141" s="15" t="s">
        <v>5</v>
      </c>
      <c r="D141" s="16" t="s">
        <v>6</v>
      </c>
      <c r="E141" s="17">
        <f>1758187.58/1000</f>
        <v>1758.18758</v>
      </c>
      <c r="F141" s="17">
        <f>1780236.7/1000</f>
        <v>1780.2366999999999</v>
      </c>
      <c r="G141" s="17">
        <f>1844196/1000</f>
        <v>1844.1959999999999</v>
      </c>
      <c r="H141" s="17">
        <f>1913175.1/1000</f>
        <v>1913.1751000000002</v>
      </c>
      <c r="I141" s="17">
        <f>1984893.12/1000</f>
        <v>1984.8931200000002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/>
      <c r="IC141"/>
    </row>
    <row r="142" spans="1:237" ht="47.25" customHeight="1" x14ac:dyDescent="0.25">
      <c r="A142" s="49" t="s">
        <v>164</v>
      </c>
      <c r="B142" s="50" t="s">
        <v>143</v>
      </c>
      <c r="C142" s="15" t="s">
        <v>78</v>
      </c>
      <c r="D142" s="16" t="s">
        <v>79</v>
      </c>
      <c r="E142" s="17">
        <v>3356</v>
      </c>
      <c r="F142" s="17">
        <v>3356</v>
      </c>
      <c r="G142" s="17">
        <v>3556</v>
      </c>
      <c r="H142" s="17">
        <v>3356</v>
      </c>
      <c r="I142" s="17">
        <v>3356</v>
      </c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/>
      <c r="IC142"/>
    </row>
    <row r="143" spans="1:237" ht="77.3" customHeight="1" x14ac:dyDescent="0.25">
      <c r="A143" s="49"/>
      <c r="B143" s="51"/>
      <c r="C143" s="15" t="s">
        <v>5</v>
      </c>
      <c r="D143" s="16" t="s">
        <v>6</v>
      </c>
      <c r="E143" s="17">
        <f>11346987.18/1000</f>
        <v>11346.98718</v>
      </c>
      <c r="F143" s="17">
        <f>11489311.79/1000</f>
        <v>11489.31179</v>
      </c>
      <c r="G143" s="17">
        <f>11902211.8/1000</f>
        <v>11902.211800000001</v>
      </c>
      <c r="H143" s="17">
        <f>12347329.58/1000</f>
        <v>12347.32958</v>
      </c>
      <c r="I143" s="17">
        <f>12810245.44/1000</f>
        <v>12810.245439999999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/>
      <c r="IC143"/>
    </row>
    <row r="144" spans="1:237" ht="47.25" customHeight="1" x14ac:dyDescent="0.25">
      <c r="A144" s="49" t="s">
        <v>165</v>
      </c>
      <c r="B144" s="50" t="s">
        <v>144</v>
      </c>
      <c r="C144" s="15" t="s">
        <v>78</v>
      </c>
      <c r="D144" s="16" t="s">
        <v>79</v>
      </c>
      <c r="E144" s="17">
        <v>2784</v>
      </c>
      <c r="F144" s="17">
        <v>2484</v>
      </c>
      <c r="G144" s="17">
        <v>2484</v>
      </c>
      <c r="H144" s="17">
        <v>2484</v>
      </c>
      <c r="I144" s="17">
        <v>2484</v>
      </c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/>
      <c r="IC144"/>
    </row>
    <row r="145" spans="1:237" ht="61.5" customHeight="1" x14ac:dyDescent="0.25">
      <c r="A145" s="49"/>
      <c r="B145" s="51"/>
      <c r="C145" s="15" t="s">
        <v>5</v>
      </c>
      <c r="D145" s="16" t="s">
        <v>6</v>
      </c>
      <c r="E145" s="17">
        <f>941299.98/1000</f>
        <v>941.29998000000001</v>
      </c>
      <c r="F145" s="17">
        <f>9531063.34/1000</f>
        <v>9531.0633400000006</v>
      </c>
      <c r="G145" s="17">
        <f>9873585.2/1000</f>
        <v>9873.5851999999995</v>
      </c>
      <c r="H145" s="17">
        <f>10242838.62/1000</f>
        <v>10242.838619999999</v>
      </c>
      <c r="I145" s="17">
        <f>10626852.8/1000</f>
        <v>10626.852800000001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</row>
    <row r="146" spans="1:237" s="6" customFormat="1" ht="61.5" customHeight="1" x14ac:dyDescent="0.25">
      <c r="A146" s="35"/>
      <c r="B146" s="36"/>
      <c r="C146" s="23"/>
      <c r="D146" s="24" t="s">
        <v>94</v>
      </c>
      <c r="E146" s="25">
        <f>E145+E143+E141+E139+E137+E135</f>
        <v>57135.782550000004</v>
      </c>
      <c r="F146" s="25">
        <f>F135+F145+F143+F141+F139+F137+554166*0+163426*0</f>
        <v>67834.742509999996</v>
      </c>
      <c r="G146" s="25">
        <f>G135+G145+G143+G141+G139+G137+(546910+162040)*0</f>
        <v>72188.314669999992</v>
      </c>
      <c r="H146" s="25">
        <f>H135+H145+H143+H141+H139+H137+(546910+162040)*0</f>
        <v>74245.683359999995</v>
      </c>
      <c r="I146" s="25">
        <f>I135+I145+I143+I141+I139+I137+(546910+162040)*0</f>
        <v>76385.141820000004</v>
      </c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</row>
    <row r="147" spans="1:237" ht="82.9" customHeight="1" x14ac:dyDescent="0.25">
      <c r="A147" s="37"/>
      <c r="B147" s="38" t="s">
        <v>14</v>
      </c>
      <c r="C147" s="39" t="s">
        <v>9</v>
      </c>
      <c r="D147" s="40" t="s">
        <v>10</v>
      </c>
      <c r="E147" s="41">
        <f>E9+E11+E13+E15+E17+E19+E21+E23+E25+E27+E29+E31+E33+E35+E37+E39+E41+E43+E47+E49+E51+E53+E57+E59+E61+E63+E65+E67+E69+E71+E73+E76+E78+E80+E82+E84+E86+E88+E90+E92+E94+E96+E98+E100+E103+E105+E107+E109+E111+E115+E118+E120+E122+E124+E126+E128+E130+E133+E135+E137+E139+E141+E143+E145</f>
        <v>1419420.7497359996</v>
      </c>
      <c r="F147" s="41">
        <f t="shared" ref="F147:I147" si="8">F9+F11+F13+F15+F17+F19+F21+F23+F25+F27+F29+F31+F33+F35+F37+F39+F41+F43+F47+F49+F51+F53+F57+F59+F61+F63+F65+F67+F69+F71+F73+F76+F78+F80+F82+F84+F86+F88+F90+F92+F94+F96+F98+F100+F103+F105+F107+F109+F111+F115+F118+F120+F122+F124+F126+F128+F130+F133+F135+F137+F139+F141+F143+F145</f>
        <v>1598861.5260799997</v>
      </c>
      <c r="G147" s="41">
        <f t="shared" si="8"/>
        <v>1645292.9670299999</v>
      </c>
      <c r="H147" s="41">
        <f t="shared" si="8"/>
        <v>1664224.3147999987</v>
      </c>
      <c r="I147" s="41">
        <f t="shared" si="8"/>
        <v>1703284.5542399997</v>
      </c>
    </row>
    <row r="148" spans="1:237" ht="15.65" x14ac:dyDescent="0.25">
      <c r="C148" s="46"/>
      <c r="D148" s="47"/>
      <c r="E148" s="46"/>
      <c r="F148" s="46"/>
      <c r="G148" s="48"/>
      <c r="H148" s="48"/>
      <c r="I148" s="48"/>
      <c r="J148" s="46"/>
      <c r="K148" s="46"/>
    </row>
    <row r="149" spans="1:237" ht="15.65" x14ac:dyDescent="0.25">
      <c r="C149" s="46"/>
      <c r="D149" s="47"/>
      <c r="E149" s="46"/>
      <c r="F149" s="46"/>
      <c r="G149" s="48"/>
      <c r="H149" s="48"/>
      <c r="I149" s="48"/>
      <c r="J149" s="46"/>
      <c r="K149" s="46"/>
    </row>
    <row r="150" spans="1:237" ht="15.65" x14ac:dyDescent="0.25">
      <c r="C150" s="46"/>
      <c r="D150" s="47"/>
      <c r="E150" s="46"/>
      <c r="F150" s="46"/>
      <c r="G150" s="48"/>
      <c r="H150" s="48"/>
      <c r="I150" s="48"/>
      <c r="J150" s="46"/>
      <c r="K150" s="46"/>
    </row>
    <row r="151" spans="1:237" ht="15.65" x14ac:dyDescent="0.25">
      <c r="C151" s="46"/>
      <c r="D151" s="46"/>
      <c r="E151" s="46"/>
      <c r="F151" s="46"/>
      <c r="G151" s="48"/>
      <c r="H151" s="48"/>
      <c r="I151" s="48"/>
      <c r="J151" s="46"/>
      <c r="K151" s="46"/>
    </row>
    <row r="152" spans="1:237" x14ac:dyDescent="0.25">
      <c r="C152" s="46"/>
      <c r="D152" s="46"/>
      <c r="E152" s="46"/>
      <c r="F152" s="46"/>
      <c r="G152" s="46"/>
      <c r="H152" s="46"/>
      <c r="I152" s="46"/>
      <c r="J152" s="46"/>
      <c r="K152" s="46"/>
    </row>
    <row r="153" spans="1:237" x14ac:dyDescent="0.25">
      <c r="C153" s="46"/>
      <c r="D153" s="46"/>
      <c r="E153" s="46"/>
      <c r="F153" s="46"/>
      <c r="G153" s="46"/>
      <c r="H153" s="46"/>
      <c r="I153" s="46"/>
      <c r="J153" s="46"/>
      <c r="K153" s="46"/>
    </row>
  </sheetData>
  <mergeCells count="143">
    <mergeCell ref="H1:I1"/>
    <mergeCell ref="A114:A115"/>
    <mergeCell ref="B114:B115"/>
    <mergeCell ref="A125:A126"/>
    <mergeCell ref="B125:B126"/>
    <mergeCell ref="A8:A9"/>
    <mergeCell ref="B8:B9"/>
    <mergeCell ref="A18:A19"/>
    <mergeCell ref="A24:A25"/>
    <mergeCell ref="B24:B25"/>
    <mergeCell ref="A20:A21"/>
    <mergeCell ref="A22:A23"/>
    <mergeCell ref="A26:A27"/>
    <mergeCell ref="A28:A29"/>
    <mergeCell ref="B95:B96"/>
    <mergeCell ref="A106:A107"/>
    <mergeCell ref="B106:B107"/>
    <mergeCell ref="A108:A109"/>
    <mergeCell ref="B108:B109"/>
    <mergeCell ref="B10:B11"/>
    <mergeCell ref="B18:B19"/>
    <mergeCell ref="B20:B21"/>
    <mergeCell ref="B22:B23"/>
    <mergeCell ref="B26:B27"/>
    <mergeCell ref="A132:A133"/>
    <mergeCell ref="B132:B133"/>
    <mergeCell ref="A119:A120"/>
    <mergeCell ref="B119:B120"/>
    <mergeCell ref="A127:A128"/>
    <mergeCell ref="B127:B128"/>
    <mergeCell ref="A32:A33"/>
    <mergeCell ref="B32:B33"/>
    <mergeCell ref="A42:A43"/>
    <mergeCell ref="B42:B43"/>
    <mergeCell ref="A34:A35"/>
    <mergeCell ref="A123:A124"/>
    <mergeCell ref="B123:B124"/>
    <mergeCell ref="A85:A86"/>
    <mergeCell ref="B85:B86"/>
    <mergeCell ref="A99:A100"/>
    <mergeCell ref="B99:B100"/>
    <mergeCell ref="A110:A111"/>
    <mergeCell ref="B110:B111"/>
    <mergeCell ref="A121:A122"/>
    <mergeCell ref="B121:B122"/>
    <mergeCell ref="A93:A94"/>
    <mergeCell ref="B93:B94"/>
    <mergeCell ref="A95:A96"/>
    <mergeCell ref="A134:A135"/>
    <mergeCell ref="B134:B135"/>
    <mergeCell ref="A136:A137"/>
    <mergeCell ref="B136:B137"/>
    <mergeCell ref="A138:A139"/>
    <mergeCell ref="A140:A141"/>
    <mergeCell ref="A142:A143"/>
    <mergeCell ref="A144:A145"/>
    <mergeCell ref="B138:B139"/>
    <mergeCell ref="B140:B141"/>
    <mergeCell ref="B142:B143"/>
    <mergeCell ref="B144:B145"/>
    <mergeCell ref="B14:B15"/>
    <mergeCell ref="B12:B13"/>
    <mergeCell ref="A46:A47"/>
    <mergeCell ref="A36:A37"/>
    <mergeCell ref="A10:A11"/>
    <mergeCell ref="A12:A13"/>
    <mergeCell ref="A14:A15"/>
    <mergeCell ref="A40:A41"/>
    <mergeCell ref="B40:B41"/>
    <mergeCell ref="A38:A39"/>
    <mergeCell ref="B38:B39"/>
    <mergeCell ref="A16:A17"/>
    <mergeCell ref="B44:B45"/>
    <mergeCell ref="A44:A45"/>
    <mergeCell ref="B16:B17"/>
    <mergeCell ref="B28:B29"/>
    <mergeCell ref="B30:B31"/>
    <mergeCell ref="B34:B35"/>
    <mergeCell ref="B36:B37"/>
    <mergeCell ref="A30:A31"/>
    <mergeCell ref="A48:A49"/>
    <mergeCell ref="A58:A59"/>
    <mergeCell ref="B58:B59"/>
    <mergeCell ref="B46:B47"/>
    <mergeCell ref="B54:B55"/>
    <mergeCell ref="A54:A55"/>
    <mergeCell ref="B48:B49"/>
    <mergeCell ref="A60:A61"/>
    <mergeCell ref="B60:B61"/>
    <mergeCell ref="A62:A63"/>
    <mergeCell ref="B62:B63"/>
    <mergeCell ref="A75:A76"/>
    <mergeCell ref="A52:A53"/>
    <mergeCell ref="B50:B51"/>
    <mergeCell ref="B52:B53"/>
    <mergeCell ref="B75:B76"/>
    <mergeCell ref="A66:A67"/>
    <mergeCell ref="B66:B67"/>
    <mergeCell ref="A56:A57"/>
    <mergeCell ref="B56:B57"/>
    <mergeCell ref="A68:A69"/>
    <mergeCell ref="A50:A51"/>
    <mergeCell ref="B3:I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B77:B78"/>
    <mergeCell ref="A79:A80"/>
    <mergeCell ref="B79:B80"/>
    <mergeCell ref="A81:A82"/>
    <mergeCell ref="B81:B82"/>
    <mergeCell ref="A77:A78"/>
    <mergeCell ref="A64:A65"/>
    <mergeCell ref="B64:B65"/>
    <mergeCell ref="A70:A71"/>
    <mergeCell ref="B70:B71"/>
    <mergeCell ref="A72:A73"/>
    <mergeCell ref="B72:B73"/>
    <mergeCell ref="B68:B69"/>
    <mergeCell ref="A129:A130"/>
    <mergeCell ref="B129:B130"/>
    <mergeCell ref="A117:A118"/>
    <mergeCell ref="B117:B118"/>
    <mergeCell ref="A83:A84"/>
    <mergeCell ref="B83:B84"/>
    <mergeCell ref="A91:A92"/>
    <mergeCell ref="B91:B92"/>
    <mergeCell ref="A87:A88"/>
    <mergeCell ref="B87:B88"/>
    <mergeCell ref="A89:A90"/>
    <mergeCell ref="B89:B90"/>
    <mergeCell ref="A97:A98"/>
    <mergeCell ref="B97:B98"/>
    <mergeCell ref="A102:A103"/>
    <mergeCell ref="B102:B103"/>
    <mergeCell ref="A104:A105"/>
    <mergeCell ref="B104:B105"/>
  </mergeCells>
  <printOptions gridLines="1"/>
  <pageMargins left="0.70866141732283472" right="0.70866141732283472" top="0.31496062992125984" bottom="0.74803149606299213" header="0.51181102362204722" footer="0.51181102362204722"/>
  <pageSetup paperSize="9" scale="10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УО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Юрьевна Базась</dc:creator>
  <cp:lastModifiedBy>Подтягина-ОН</cp:lastModifiedBy>
  <cp:revision>1</cp:revision>
  <cp:lastPrinted>2021-12-28T11:23:23Z</cp:lastPrinted>
  <dcterms:created xsi:type="dcterms:W3CDTF">2016-05-19T18:04:28Z</dcterms:created>
  <dcterms:modified xsi:type="dcterms:W3CDTF">2021-12-28T12:39:02Z</dcterms:modified>
</cp:coreProperties>
</file>