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Эффективность " sheetId="6" r:id="rId1"/>
    <sheet name="Лист3" sheetId="3" r:id="rId2"/>
  </sheets>
  <definedNames>
    <definedName name="_xlnm.Print_Area" localSheetId="0">'Эффективность '!$A$1:$H$323</definedName>
  </definedNames>
  <calcPr calcId="145621"/>
</workbook>
</file>

<file path=xl/calcChain.xml><?xml version="1.0" encoding="utf-8"?>
<calcChain xmlns="http://schemas.openxmlformats.org/spreadsheetml/2006/main">
  <c r="F237" i="6" l="1"/>
  <c r="F245" i="6"/>
  <c r="E245" i="6"/>
  <c r="D241" i="6"/>
  <c r="D245" i="6"/>
  <c r="G245" i="6" s="1"/>
  <c r="F241" i="6"/>
  <c r="E241" i="6"/>
  <c r="G244" i="6"/>
  <c r="G229" i="6"/>
  <c r="F229" i="6"/>
  <c r="E229" i="6"/>
  <c r="D229" i="6"/>
  <c r="G225" i="6"/>
  <c r="F225" i="6"/>
  <c r="E225" i="6"/>
  <c r="D225" i="6"/>
  <c r="F197" i="6"/>
  <c r="F201" i="6"/>
  <c r="D189" i="6"/>
  <c r="D193" i="6"/>
  <c r="D201" i="6"/>
  <c r="F157" i="6"/>
  <c r="G172" i="6"/>
  <c r="G161" i="6"/>
  <c r="F161" i="6"/>
  <c r="E161" i="6"/>
  <c r="D161" i="6"/>
  <c r="G156" i="6"/>
  <c r="G152" i="6" s="1"/>
  <c r="F137" i="6"/>
  <c r="F145" i="6"/>
  <c r="E145" i="6"/>
  <c r="D145" i="6"/>
  <c r="G145" i="6" s="1"/>
  <c r="G142" i="6"/>
  <c r="F141" i="6"/>
  <c r="E141" i="6"/>
  <c r="G141" i="6" s="1"/>
  <c r="G143" i="6"/>
  <c r="G144" i="6"/>
  <c r="G137" i="6" l="1"/>
  <c r="F253" i="6"/>
  <c r="E253" i="6"/>
  <c r="D253" i="6"/>
  <c r="G253" i="6" s="1"/>
  <c r="G249" i="6" s="1"/>
  <c r="F205" i="6" l="1"/>
  <c r="F209" i="6"/>
  <c r="E209" i="6"/>
  <c r="D209" i="6"/>
  <c r="F217" i="6"/>
  <c r="G217" i="6" s="1"/>
  <c r="E217" i="6"/>
  <c r="D217" i="6"/>
  <c r="F213" i="6"/>
  <c r="G213" i="6" s="1"/>
  <c r="E213" i="6"/>
  <c r="D213" i="6"/>
  <c r="F129" i="6"/>
  <c r="F133" i="6"/>
  <c r="E133" i="6"/>
  <c r="D133" i="6"/>
  <c r="F125" i="6"/>
  <c r="E125" i="6"/>
  <c r="D125" i="6"/>
  <c r="F113" i="6"/>
  <c r="G128" i="6"/>
  <c r="F121" i="6"/>
  <c r="E121" i="6"/>
  <c r="D121" i="6"/>
  <c r="G124" i="6"/>
  <c r="F117" i="6"/>
  <c r="E117" i="6"/>
  <c r="D117" i="6"/>
  <c r="G120" i="6"/>
  <c r="G116" i="6" s="1"/>
  <c r="F109" i="6"/>
  <c r="E109" i="6"/>
  <c r="D109" i="6"/>
  <c r="G112" i="6"/>
  <c r="G104" i="6"/>
  <c r="G100" i="6" s="1"/>
  <c r="F105" i="6"/>
  <c r="E105" i="6"/>
  <c r="D105" i="6"/>
  <c r="G105" i="6" s="1"/>
  <c r="F101" i="6"/>
  <c r="E101" i="6"/>
  <c r="D101" i="6"/>
  <c r="F85" i="6"/>
  <c r="F89" i="6"/>
  <c r="E89" i="6"/>
  <c r="D89" i="6"/>
  <c r="G92" i="6"/>
  <c r="F77" i="6"/>
  <c r="F81" i="6"/>
  <c r="E81" i="6"/>
  <c r="D81" i="6"/>
  <c r="F51" i="6"/>
  <c r="E71" i="6"/>
  <c r="D71" i="6"/>
  <c r="F67" i="6"/>
  <c r="E67" i="6"/>
  <c r="D67" i="6"/>
  <c r="D59" i="6"/>
  <c r="D63" i="6"/>
  <c r="F63" i="6"/>
  <c r="E63" i="6"/>
  <c r="F59" i="6"/>
  <c r="E59" i="6"/>
  <c r="G59" i="6" s="1"/>
  <c r="F55" i="6"/>
  <c r="E55" i="6"/>
  <c r="D55" i="6"/>
  <c r="F47" i="6"/>
  <c r="D47" i="6"/>
  <c r="F43" i="6"/>
  <c r="E43" i="6"/>
  <c r="D43" i="6"/>
  <c r="G43" i="6" s="1"/>
  <c r="F39" i="6"/>
  <c r="E39" i="6"/>
  <c r="D39" i="6"/>
  <c r="F31" i="6"/>
  <c r="E31" i="6"/>
  <c r="D31" i="6"/>
  <c r="G34" i="6"/>
  <c r="F27" i="6"/>
  <c r="E27" i="6"/>
  <c r="G27" i="6" s="1"/>
  <c r="D27" i="6"/>
  <c r="G30" i="6"/>
  <c r="G63" i="6" l="1"/>
  <c r="G39" i="6"/>
  <c r="G55" i="6"/>
  <c r="G81" i="6"/>
  <c r="G77" i="6" s="1"/>
  <c r="G89" i="6"/>
  <c r="G101" i="6"/>
  <c r="G109" i="6"/>
  <c r="G121" i="6"/>
  <c r="G133" i="6"/>
  <c r="G129" i="6" s="1"/>
  <c r="G31" i="6"/>
  <c r="G67" i="6"/>
  <c r="G125" i="6"/>
  <c r="F7" i="6"/>
  <c r="F19" i="6"/>
  <c r="E19" i="6"/>
  <c r="D19" i="6"/>
  <c r="F11" i="6"/>
  <c r="D11" i="6"/>
  <c r="D15" i="6"/>
  <c r="E11" i="6"/>
  <c r="G18" i="6"/>
  <c r="G19" i="6" l="1"/>
  <c r="G11" i="6"/>
  <c r="F173" i="6"/>
  <c r="D177" i="6"/>
  <c r="G177" i="6" s="1"/>
  <c r="F177" i="6"/>
  <c r="E177" i="6"/>
  <c r="F181" i="6"/>
  <c r="E181" i="6"/>
  <c r="D185" i="6"/>
  <c r="D181" i="6"/>
  <c r="F185" i="6"/>
  <c r="G185" i="6" s="1"/>
  <c r="E185" i="6"/>
  <c r="F193" i="6"/>
  <c r="E193" i="6"/>
  <c r="G193" i="6" s="1"/>
  <c r="F189" i="6"/>
  <c r="E189" i="6"/>
  <c r="G181" i="6" l="1"/>
  <c r="F233" i="6"/>
  <c r="E233" i="6"/>
  <c r="D233" i="6"/>
  <c r="G233" i="6" s="1"/>
  <c r="G246" i="6" l="1"/>
  <c r="G242" i="6"/>
  <c r="G202" i="6"/>
  <c r="G186" i="6"/>
  <c r="G178" i="6"/>
  <c r="G146" i="6"/>
  <c r="G138" i="6" s="1"/>
  <c r="G122" i="6"/>
  <c r="G118" i="6"/>
  <c r="G110" i="6"/>
  <c r="G102" i="6"/>
  <c r="G90" i="6"/>
  <c r="G73" i="6"/>
  <c r="G72" i="6"/>
  <c r="G68" i="6"/>
  <c r="G56" i="6"/>
  <c r="G247" i="6" l="1"/>
  <c r="G243" i="6"/>
  <c r="G236" i="6"/>
  <c r="G235" i="6"/>
  <c r="G234" i="6"/>
  <c r="G203" i="6"/>
  <c r="G196" i="6"/>
  <c r="G195" i="6"/>
  <c r="G179" i="6"/>
  <c r="G155" i="6" l="1"/>
  <c r="G151" i="6" s="1"/>
  <c r="G154" i="6"/>
  <c r="G150" i="6" s="1"/>
  <c r="F153" i="6"/>
  <c r="E153" i="6"/>
  <c r="D153" i="6"/>
  <c r="F149" i="6"/>
  <c r="G147" i="6"/>
  <c r="G153" i="6" l="1"/>
  <c r="G149" i="6" s="1"/>
  <c r="G127" i="6"/>
  <c r="G123" i="6"/>
  <c r="G119" i="6" l="1"/>
  <c r="G115" i="6" s="1"/>
  <c r="G111" i="6"/>
  <c r="G103" i="6"/>
  <c r="G99" i="6" s="1"/>
  <c r="G91" i="6"/>
  <c r="G83" i="6"/>
  <c r="G69" i="6"/>
  <c r="G65" i="6"/>
  <c r="G29" i="6" l="1"/>
  <c r="G26" i="6" s="1"/>
  <c r="G17" i="6"/>
  <c r="F221" i="6"/>
  <c r="G221" i="6" s="1"/>
  <c r="E201" i="6"/>
  <c r="F169" i="6"/>
  <c r="E169" i="6"/>
  <c r="F165" i="6"/>
  <c r="E165" i="6"/>
  <c r="G165" i="6" s="1"/>
  <c r="F97" i="6"/>
  <c r="G97" i="6" s="1"/>
  <c r="F93" i="6"/>
  <c r="E93" i="6"/>
  <c r="F71" i="6"/>
  <c r="G71" i="6" s="1"/>
  <c r="G51" i="6" s="1"/>
  <c r="F35" i="6"/>
  <c r="E47" i="6"/>
  <c r="G47" i="6" s="1"/>
  <c r="F23" i="6"/>
  <c r="G23" i="6" s="1"/>
  <c r="F15" i="6"/>
  <c r="E15" i="6"/>
  <c r="G15" i="6" s="1"/>
  <c r="G7" i="6" s="1"/>
  <c r="G35" i="6" l="1"/>
  <c r="G169" i="6"/>
  <c r="G157" i="6" s="1"/>
  <c r="G164" i="6"/>
  <c r="G171" i="6"/>
  <c r="G168" i="6"/>
  <c r="G167" i="6"/>
  <c r="G170" i="6"/>
  <c r="G166" i="6"/>
  <c r="G163" i="6"/>
  <c r="G162" i="6"/>
  <c r="G248" i="6"/>
  <c r="G240" i="6" s="1"/>
  <c r="G184" i="6"/>
  <c r="G191" i="6"/>
  <c r="G187" i="6"/>
  <c r="G180" i="6"/>
  <c r="G176" i="6" s="1"/>
  <c r="G183" i="6"/>
  <c r="G182" i="6"/>
  <c r="G190" i="6"/>
  <c r="G135" i="6"/>
  <c r="G131" i="6" s="1"/>
  <c r="D93" i="6"/>
  <c r="G95" i="6"/>
  <c r="G66" i="6"/>
  <c r="G61" i="6"/>
  <c r="G57" i="6"/>
  <c r="G74" i="6"/>
  <c r="G64" i="6"/>
  <c r="G84" i="6"/>
  <c r="G80" i="6" s="1"/>
  <c r="G79" i="6"/>
  <c r="G82" i="6"/>
  <c r="G78" i="6" s="1"/>
  <c r="G50" i="6"/>
  <c r="G41" i="6"/>
  <c r="G48" i="6"/>
  <c r="G44" i="6"/>
  <c r="G33" i="6"/>
  <c r="G28" i="6"/>
  <c r="G106" i="6"/>
  <c r="G198" i="6"/>
  <c r="G199" i="6"/>
  <c r="G204" i="6"/>
  <c r="G200" i="6" s="1"/>
  <c r="G158" i="6" l="1"/>
  <c r="G175" i="6"/>
  <c r="G174" i="6"/>
  <c r="G239" i="6"/>
  <c r="G241" i="6"/>
  <c r="G237" i="6" s="1"/>
  <c r="G160" i="6"/>
  <c r="G159" i="6"/>
  <c r="G238" i="6"/>
  <c r="G87" i="6"/>
  <c r="G189" i="6"/>
  <c r="G173" i="6" s="1"/>
  <c r="G117" i="6"/>
  <c r="G113" i="6" s="1"/>
  <c r="G139" i="6"/>
  <c r="G53" i="6"/>
  <c r="G201" i="6"/>
  <c r="G197" i="6" s="1"/>
  <c r="G98" i="6"/>
  <c r="G14" i="6"/>
  <c r="G13" i="6"/>
  <c r="G12" i="6"/>
  <c r="G21" i="6" l="1"/>
  <c r="G254" i="6"/>
  <c r="G250" i="6" s="1"/>
  <c r="G255" i="6"/>
  <c r="G251" i="6" s="1"/>
  <c r="G256" i="6"/>
  <c r="G252" i="6" s="1"/>
  <c r="G9" i="6" l="1"/>
  <c r="G214" i="6"/>
  <c r="G212" i="6"/>
  <c r="G208" i="6" s="1"/>
  <c r="G211" i="6"/>
  <c r="G210" i="6"/>
  <c r="G209" i="6" l="1"/>
  <c r="G205" i="6" s="1"/>
  <c r="G231" i="6"/>
  <c r="G227" i="6"/>
  <c r="G223" i="6" l="1"/>
  <c r="E63" i="3"/>
  <c r="E62" i="3"/>
  <c r="E61" i="3"/>
  <c r="D63" i="3"/>
  <c r="D62" i="3"/>
  <c r="D61" i="3"/>
  <c r="F56" i="3"/>
  <c r="E55" i="3"/>
  <c r="D55" i="3"/>
  <c r="F54" i="3"/>
  <c r="F53" i="3"/>
  <c r="F52" i="3"/>
  <c r="E51" i="3"/>
  <c r="D51" i="3"/>
  <c r="F49" i="3"/>
  <c r="F48" i="3"/>
  <c r="E47" i="3"/>
  <c r="D47" i="3"/>
  <c r="F46" i="3"/>
  <c r="F45" i="3"/>
  <c r="F44" i="3"/>
  <c r="E43" i="3"/>
  <c r="D43" i="3"/>
  <c r="F42" i="3"/>
  <c r="F41" i="3"/>
  <c r="F40" i="3"/>
  <c r="E39" i="3"/>
  <c r="D39" i="3"/>
  <c r="F36" i="3"/>
  <c r="E35" i="3"/>
  <c r="D35" i="3"/>
  <c r="F32" i="3"/>
  <c r="E31" i="3"/>
  <c r="D31" i="3"/>
  <c r="F29" i="3"/>
  <c r="F28" i="3"/>
  <c r="E27" i="3"/>
  <c r="D27" i="3"/>
  <c r="F25" i="3"/>
  <c r="F24" i="3"/>
  <c r="E23" i="3"/>
  <c r="D23" i="3"/>
  <c r="F22" i="3"/>
  <c r="F21" i="3"/>
  <c r="F20" i="3"/>
  <c r="E19" i="3"/>
  <c r="D19" i="3"/>
  <c r="F16" i="3"/>
  <c r="E15" i="3"/>
  <c r="D15" i="3"/>
  <c r="F13" i="3"/>
  <c r="F12" i="3"/>
  <c r="E11" i="3"/>
  <c r="D11" i="3"/>
  <c r="F10" i="3"/>
  <c r="F9" i="3"/>
  <c r="F8" i="3"/>
  <c r="F5" i="3"/>
  <c r="F4" i="3"/>
  <c r="E7" i="3"/>
  <c r="D7" i="3"/>
  <c r="F3" i="3"/>
  <c r="G232" i="6"/>
  <c r="G230" i="6"/>
  <c r="G228" i="6"/>
  <c r="G226" i="6"/>
  <c r="G219" i="6"/>
  <c r="G207" i="6" s="1"/>
  <c r="G218" i="6"/>
  <c r="G206" i="6" s="1"/>
  <c r="G136" i="6"/>
  <c r="G132" i="6" s="1"/>
  <c r="G134" i="6"/>
  <c r="G130" i="6" s="1"/>
  <c r="G126" i="6"/>
  <c r="G96" i="6"/>
  <c r="G94" i="6"/>
  <c r="G86" i="6" s="1"/>
  <c r="F76" i="6"/>
  <c r="E76" i="6"/>
  <c r="D76" i="6"/>
  <c r="B76" i="6"/>
  <c r="F75" i="6"/>
  <c r="B75" i="6"/>
  <c r="G70" i="6"/>
  <c r="G62" i="6"/>
  <c r="G60" i="6"/>
  <c r="G52" i="6" s="1"/>
  <c r="G58" i="6"/>
  <c r="G54" i="6" s="1"/>
  <c r="G49" i="6"/>
  <c r="G46" i="6"/>
  <c r="G45" i="6"/>
  <c r="G42" i="6"/>
  <c r="G40" i="6"/>
  <c r="G36" i="6" s="1"/>
  <c r="G32" i="6"/>
  <c r="G24" i="6" s="1"/>
  <c r="G22" i="6"/>
  <c r="G10" i="6" s="1"/>
  <c r="G20" i="6"/>
  <c r="G16" i="6"/>
  <c r="G8" i="6" l="1"/>
  <c r="F63" i="3"/>
  <c r="D65" i="3"/>
  <c r="D60" i="3"/>
  <c r="G114" i="6"/>
  <c r="G37" i="6"/>
  <c r="G88" i="6"/>
  <c r="F61" i="3"/>
  <c r="G38" i="6"/>
  <c r="F62" i="3"/>
  <c r="G224" i="6"/>
  <c r="G25" i="6"/>
  <c r="G222" i="6"/>
  <c r="E65" i="3"/>
  <c r="E60" i="3"/>
  <c r="F55" i="3"/>
  <c r="F35" i="3"/>
  <c r="F43" i="3"/>
  <c r="F39" i="3"/>
  <c r="F47" i="3"/>
  <c r="F51" i="3"/>
  <c r="F27" i="3"/>
  <c r="F31" i="3"/>
  <c r="F19" i="3"/>
  <c r="F23" i="3"/>
  <c r="F11" i="3"/>
  <c r="F15" i="3"/>
  <c r="F7" i="3"/>
  <c r="G93" i="6"/>
  <c r="G85" i="6" s="1"/>
  <c r="G76" i="6"/>
  <c r="G75" i="6" s="1"/>
  <c r="F60" i="3" l="1"/>
</calcChain>
</file>

<file path=xl/sharedStrings.xml><?xml version="1.0" encoding="utf-8"?>
<sst xmlns="http://schemas.openxmlformats.org/spreadsheetml/2006/main" count="567" uniqueCount="184">
  <si>
    <t>Наименование программы (подпрограммы)</t>
  </si>
  <si>
    <t>1.</t>
  </si>
  <si>
    <t>1.1.</t>
  </si>
  <si>
    <t>1.2.</t>
  </si>
  <si>
    <t>1.3.</t>
  </si>
  <si>
    <t>ВЦП «Обеспечение развития физической культуры и спорта в городе Апатиты через эффективное выполнение муниципальных функций»</t>
  </si>
  <si>
    <t>ОБ</t>
  </si>
  <si>
    <t>2.</t>
  </si>
  <si>
    <t>МП «Развитие образования»</t>
  </si>
  <si>
    <t>ФБ</t>
  </si>
  <si>
    <t>2.1.</t>
  </si>
  <si>
    <t>2.2.</t>
  </si>
  <si>
    <t>3.</t>
  </si>
  <si>
    <t>МП «Развитие культуры и молодежной политики, сохранение культурного наследия города»</t>
  </si>
  <si>
    <t>3.1.</t>
  </si>
  <si>
    <t>3.2.</t>
  </si>
  <si>
    <t>3.3.</t>
  </si>
  <si>
    <t>ВЦП «Услуги учреждений культуры и молодежной политики»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</si>
  <si>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</si>
  <si>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</si>
  <si>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</si>
  <si>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</si>
  <si>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</si>
  <si>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</si>
  <si>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</si>
  <si>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</si>
  <si>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</si>
  <si>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</si>
  <si>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</si>
  <si>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4.1.</t>
  </si>
  <si>
    <t>4.3.</t>
  </si>
  <si>
    <t>5.1.</t>
  </si>
  <si>
    <t>6.1.</t>
  </si>
  <si>
    <t>6.2.</t>
  </si>
  <si>
    <t>7.1.</t>
  </si>
  <si>
    <t>7.2.</t>
  </si>
  <si>
    <t>7.3.</t>
  </si>
  <si>
    <t>8.1.</t>
  </si>
  <si>
    <t>9.1.</t>
  </si>
  <si>
    <t>10.1.</t>
  </si>
  <si>
    <t>11.1.</t>
  </si>
  <si>
    <t>4.2.</t>
  </si>
  <si>
    <t>Подпрограмма "Подготовка объектов и систем жизнеобеспечения к работе в отопительный период"</t>
  </si>
  <si>
    <t xml:space="preserve"> -</t>
  </si>
  <si>
    <t>Критерии оценки эффективности</t>
  </si>
  <si>
    <t>Степень реализации мероприятий (См)</t>
  </si>
  <si>
    <t>Степень достижения целевых показателей (Сп)</t>
  </si>
  <si>
    <t>Оценка эффективности</t>
  </si>
  <si>
    <t>удовлетворительная</t>
  </si>
  <si>
    <t>эффективная</t>
  </si>
  <si>
    <t>неэффективная</t>
  </si>
  <si>
    <t>недостаточно эффективная</t>
  </si>
  <si>
    <t>4.4.</t>
  </si>
  <si>
    <t>Аналитическая ведомственная целевая программа "Обеспечение деятельности муниципального казенного учреждения "Служба гражданской защиты города Апатиты"</t>
  </si>
  <si>
    <t>4.5.</t>
  </si>
  <si>
    <t xml:space="preserve">Эффективность реализации муниципальной программы в целом определяется путем одновременного анализа среднеарифметических значений ДИП и ПФ подпрограмм и ВЦП.
В отчете о выполнении муниципальной программы за весь период ее реализации приводится средняя оценка за все годы реализации муниципальной программы, определяемая как среднеарифметическое оценок эффективности муниципальной программы по каждому году реализации муниципальной программы.
</t>
  </si>
  <si>
    <t>Приложение № 4</t>
  </si>
  <si>
    <t>МП "Развитие физической культуры и спорта"</t>
  </si>
  <si>
    <t>МП "Обеспечение общественного порядка и безопасности населения города"</t>
  </si>
  <si>
    <t>МП "Обеспечение доступным и комфортным жильем и коммунальными услугами населения города"</t>
  </si>
  <si>
    <t>МП "Развитие транспортной системы"</t>
  </si>
  <si>
    <t>МП "Обеспечение комфортной среды проживания населения города"</t>
  </si>
  <si>
    <t>МП "Энергоэффективность и развитие энергетики"</t>
  </si>
  <si>
    <t>Подпрограмма "Энергосбережение и повышение энергетической эффективности"</t>
  </si>
  <si>
    <t>МП "Создание условий для развития жилищно-коммунального хозяйства"</t>
  </si>
  <si>
    <t>МП Развитие экономического потенциала"</t>
  </si>
  <si>
    <t>МП "Муниципальное управление"</t>
  </si>
  <si>
    <t>МП "Управление муниципальными финансами"</t>
  </si>
  <si>
    <t>Подпрограмма " Повышение эффективности бюджетных расходов</t>
  </si>
  <si>
    <t>МП "Организация предоставления государственных и муниципальных услуг"</t>
  </si>
  <si>
    <t>МП "Социальная поддержка граждан и социально-ориентированных организаций"</t>
  </si>
  <si>
    <t>Подпрограмма "Социальная поддержка отдельных категорий граждан"</t>
  </si>
  <si>
    <t xml:space="preserve">Подпрограмма "Социальная поддержка социально-ориентированных организаций" </t>
  </si>
  <si>
    <t>всего</t>
  </si>
  <si>
    <t>МБ</t>
  </si>
  <si>
    <t>бюджет</t>
  </si>
  <si>
    <t>кассовый</t>
  </si>
  <si>
    <t>16.</t>
  </si>
  <si>
    <t>16.1.</t>
  </si>
  <si>
    <t>МП "Информационное общество"</t>
  </si>
  <si>
    <t>Подпрограмма 1 "Развитие современной информационной и телекоммуникационной инфраструктуры органов местного самоуправления»</t>
  </si>
  <si>
    <t>Подпрограмма 2 «Развитие системы  предоставления государственных и муниципальных услуг по принципу «одного окна»</t>
  </si>
  <si>
    <t>АВЦП "Обеспечение деятельности МКУ "Многофункциональный центр предоставления государственных и муниципальных услуг города Апатиты"</t>
  </si>
  <si>
    <t>15.1.</t>
  </si>
  <si>
    <t>15.2.</t>
  </si>
  <si>
    <t>МП "Противодействие терроризму м профилактика экстремизма в области межэтнических и межконфессиональных отношений на  территории муниципального образования город Апатиты"</t>
  </si>
  <si>
    <t xml:space="preserve"> Подпрограмма «Профилактика терроризма и экстремизма на территории муниципального образования город Апатиты с подведомственной территорией Мурманской области»</t>
  </si>
  <si>
    <t>14.1.</t>
  </si>
  <si>
    <t>МП «Охрана окружающей среды»</t>
  </si>
  <si>
    <t>Подпрограмма  «Обеспечение экологической безопасности»</t>
  </si>
  <si>
    <t>8.2.</t>
  </si>
  <si>
    <t>8.3.</t>
  </si>
  <si>
    <t>10..2.</t>
  </si>
  <si>
    <t>12.2.</t>
  </si>
  <si>
    <t>12.1.</t>
  </si>
  <si>
    <t>12.3.</t>
  </si>
  <si>
    <t>Аналитическая ведомственная целевая программа «Развитие архивного дела на территории муниципального образования город Апатиты с подведомственной территорией Мурманской области»</t>
  </si>
  <si>
    <t xml:space="preserve">Аналитическая ведомственная целевая программа «Обеспечение деятельности Администрации муниципального образования город Апатиты с подведомственной территорией Мурманской области» </t>
  </si>
  <si>
    <t xml:space="preserve">Аналитическая ведомственная целевая  программа «Обеспечение деятельности муниципального казенного учреждения города Апатиты "Управление материально-технического обеспечения деятельности органов местного самоуправления города Апатиты» </t>
  </si>
  <si>
    <t>Ведомственная целевая  программа «Обеспечение деятельности муниципального бюджетного учреждения «Централизованная бухгалтерия Администрации города Апатиты»</t>
  </si>
  <si>
    <t>13.1.</t>
  </si>
  <si>
    <t>17.</t>
  </si>
  <si>
    <t>МП "Управление муниципальным имуществом и земельными ресурсами на территории муниципального образования город Апатиты с подведомственной территорией Мурманской области"</t>
  </si>
  <si>
    <t>Подпрограмма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</si>
  <si>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>АВЦП "Обеспечение деятельности Муниципального казенного учреждения города Апатиты "Управление городского хозяйства"</t>
  </si>
  <si>
    <t>18.</t>
  </si>
  <si>
    <t>18.1.</t>
  </si>
  <si>
    <t>Оценка эффективности муниципальных программ города Апатиты за 2021-2023 годы</t>
  </si>
  <si>
    <t>2021-2023</t>
  </si>
  <si>
    <t>0,07/0,982</t>
  </si>
  <si>
    <t>0,958/0,997</t>
  </si>
  <si>
    <t>0,809/0,821</t>
  </si>
  <si>
    <t>0,849/0,878</t>
  </si>
  <si>
    <t>0,857/0,900</t>
  </si>
  <si>
    <t>Подпрограмма "Поддержка развития товариществ собственников недвижимости в многоквартирных домах"</t>
  </si>
  <si>
    <t>МП "Капитальный ремонт многоквартирных домов"</t>
  </si>
  <si>
    <t>Подпрограмма "Проведение капитального ремонта многоквартирных домов"</t>
  </si>
  <si>
    <t>13.2.</t>
  </si>
  <si>
    <t>13.3.</t>
  </si>
  <si>
    <t>13.4.</t>
  </si>
  <si>
    <t>13.5.</t>
  </si>
  <si>
    <t>Аналитическая ведомственная целевая  программа «Обеспечение эффекттивной деятельности муниципального казенного учреждения "Управление бухгалтерского учета и материально-технического обеспечения деятельности органов местного самоуправления города Апатиты»</t>
  </si>
  <si>
    <t>0,227/1,000</t>
  </si>
  <si>
    <t>15.3.</t>
  </si>
  <si>
    <t>эффективна</t>
  </si>
  <si>
    <t>удовлетвориттельная</t>
  </si>
  <si>
    <t>МП "Формирование современной городской среды на терртории муниципального образования город Апатиты с подведомственной территорией Мурманской области"</t>
  </si>
  <si>
    <t>0,992/0,989</t>
  </si>
  <si>
    <t>18.2.</t>
  </si>
  <si>
    <t>19.</t>
  </si>
  <si>
    <t>19.1.</t>
  </si>
  <si>
    <t>Подпрограмма «Развитие современной системы образования»</t>
  </si>
  <si>
    <t>0,989/0,995</t>
  </si>
  <si>
    <t>0,913/0,959</t>
  </si>
  <si>
    <t>0,723/0,756</t>
  </si>
  <si>
    <t>0,908/0,957</t>
  </si>
  <si>
    <t>0,851/0,915</t>
  </si>
  <si>
    <t>0,987/0,995</t>
  </si>
  <si>
    <t>0,964/0,981</t>
  </si>
  <si>
    <t>0,186/1,000</t>
  </si>
  <si>
    <t>16.2.</t>
  </si>
  <si>
    <t>0,990/0,996</t>
  </si>
  <si>
    <t>подпрограмма действует с 2022 года</t>
  </si>
  <si>
    <t>АВЦП в 2023 году не исполнялась</t>
  </si>
  <si>
    <t xml:space="preserve">Подпрограмма 1 «Развитие массового спорта»
</t>
  </si>
  <si>
    <t>Подпрограмма 2 «Развитие спортивной инфраструктуры»</t>
  </si>
  <si>
    <t>0,195/1,0</t>
  </si>
  <si>
    <t>ВЦП «Развитие дошкольного, общего и дополнительного образования детей»</t>
  </si>
  <si>
    <t>Подпрограмма 1 "Культура"</t>
  </si>
  <si>
    <t>Подпрограмма 2 «Вовлечение молодежи в социальную практику»</t>
  </si>
  <si>
    <t xml:space="preserve">Подпрограмма № 1 "Профилактика безнадзорности и правонарушений несовершеннолетних" </t>
  </si>
  <si>
    <t>Подпрограмма № 2 "Профилактика наркомании, алкоголизма и упортебления табака в молодежной среде города Апатиты"</t>
  </si>
  <si>
    <t>Подпрограмма № 3 "Обеспечение безопасности и защиты населения в области гражданской обороны и чрезвычайных ситуаций"</t>
  </si>
  <si>
    <t>Подпрограмма № 5 «Противодействие экстремизму и профилактика терроризма на территории муниципального образования город Апатиты»</t>
  </si>
  <si>
    <t>не достаточно эффективная</t>
  </si>
  <si>
    <t>Подпрограмма № 1 "Поддержка и стимулирование жилищного строительства в городе Апатиты"</t>
  </si>
  <si>
    <t>Подпрограмма № 2  "Обеспечение жильем молодых семей города Апатиты"</t>
  </si>
  <si>
    <t>0,928/0,985</t>
  </si>
  <si>
    <t>подпрограмма в 2022-2023 годах не выполнялась. С 01.06.2021 полномочия в сфере организации перевозок переданы в Министерство транспорта и дорожного хозяйства Мурманской области</t>
  </si>
  <si>
    <t>Подпрограмма № 1 "Развитие дорожного хозяйства"</t>
  </si>
  <si>
    <t>Подпрограмма № 2 "Транспортное обслуживание населения"</t>
  </si>
  <si>
    <t>Подпрограмма № 3 "Безопасность дорожного движения и снижение дорожно-транспортного травматизма на территории муниципального образования город Апатиты"</t>
  </si>
  <si>
    <t>0,883/0,963</t>
  </si>
  <si>
    <t>Подпрограмма № 1 "Организация сферы ритуальных услуг"</t>
  </si>
  <si>
    <t>Подпрограмма № 2 "Наружное уличное освещение и содержание сетей энергоснабжения"</t>
  </si>
  <si>
    <t>Подпрограмма № 3 "Развитие системы комплексного благоустройства"</t>
  </si>
  <si>
    <t>0,791/0,878</t>
  </si>
  <si>
    <t>0,947/0,988</t>
  </si>
  <si>
    <t>0,897/0,965</t>
  </si>
  <si>
    <t>подпрограмма в 2022 году не реализовывалась. С  01.07.2022 МКУ "МФЦ г.Апатиты" ликвидировано</t>
  </si>
  <si>
    <t>подпрограмма в 2023 году не реализовывалась</t>
  </si>
  <si>
    <t>не эффективная</t>
  </si>
  <si>
    <t>МП "Экономический потенциал"</t>
  </si>
  <si>
    <t>Подпрограмма № 1"Создание условий для ведения бизнеса на территории города Апатиты"</t>
  </si>
  <si>
    <t>Подпрограмма   №  2 "Формирование благоприятной инвестиционной среды"</t>
  </si>
  <si>
    <t>Подпрограмма№ 3  "Развите туризма"</t>
  </si>
  <si>
    <r>
      <t xml:space="preserve"> </t>
    </r>
    <r>
      <rPr>
        <sz val="9"/>
        <rFont val="Times New Roman"/>
        <family val="1"/>
        <charset val="204"/>
      </rPr>
      <t>№ п/п</t>
    </r>
  </si>
  <si>
    <r>
      <t>Показатель эффективности реализации муниципальной программы (подпрограммы)</t>
    </r>
    <r>
      <rPr>
        <vertAlign val="superscript"/>
        <sz val="12"/>
        <rFont val="Times New Roman"/>
        <family val="1"/>
        <charset val="204"/>
      </rPr>
      <t>2</t>
    </r>
  </si>
  <si>
    <r>
      <t>Степень освоения бюджетных средств (Сб)</t>
    </r>
    <r>
      <rPr>
        <vertAlign val="superscript"/>
        <sz val="12"/>
        <rFont val="Times New Roman"/>
        <family val="1"/>
        <charset val="204"/>
      </rPr>
      <t>1</t>
    </r>
  </si>
  <si>
    <r>
      <t>удовлетворительная</t>
    </r>
    <r>
      <rPr>
        <vertAlign val="superscript"/>
        <sz val="10"/>
        <rFont val="Times New Roman"/>
        <family val="1"/>
        <charset val="204"/>
      </rPr>
      <t>1</t>
    </r>
  </si>
  <si>
    <r>
      <t>эффективная</t>
    </r>
    <r>
      <rPr>
        <vertAlign val="superscript"/>
        <sz val="10"/>
        <rFont val="Times New Roman"/>
        <family val="1"/>
        <charset val="204"/>
      </rPr>
      <t>2</t>
    </r>
  </si>
  <si>
    <r>
      <t>эффективная</t>
    </r>
    <r>
      <rPr>
        <b/>
        <vertAlign val="superscript"/>
        <sz val="10"/>
        <rFont val="Times New Roman"/>
        <family val="1"/>
        <charset val="204"/>
      </rPr>
      <t>2</t>
    </r>
  </si>
  <si>
    <r>
      <t>удовлетворительная</t>
    </r>
    <r>
      <rPr>
        <vertAlign val="superscript"/>
        <sz val="10"/>
        <rFont val="Times New Roman"/>
        <family val="1"/>
        <charset val="204"/>
      </rPr>
      <t>2</t>
    </r>
  </si>
  <si>
    <r>
      <t>недостаточно эффективная</t>
    </r>
    <r>
      <rPr>
        <vertAlign val="superscript"/>
        <sz val="10"/>
        <rFont val="Times New Roman"/>
        <family val="1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</si>
</sst>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165" fontId="0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/>
    <xf numFmtId="0" fontId="7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5" fillId="4" borderId="0" xfId="0" applyFont="1" applyFill="1" applyAlignment="1">
      <alignment vertical="top" wrapText="1"/>
    </xf>
    <xf numFmtId="0" fontId="5" fillId="4" borderId="0" xfId="0" applyFont="1" applyFill="1"/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/>
    <xf numFmtId="0" fontId="5" fillId="0" borderId="3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66" fontId="11" fillId="3" borderId="2" xfId="1" applyNumberFormat="1" applyFont="1" applyFill="1" applyBorder="1" applyAlignment="1">
      <alignment horizontal="center" vertical="center" wrapText="1"/>
    </xf>
    <xf numFmtId="166" fontId="11" fillId="3" borderId="1" xfId="1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/>
    <xf numFmtId="0" fontId="12" fillId="4" borderId="6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166" fontId="11" fillId="2" borderId="0" xfId="1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166" fontId="7" fillId="4" borderId="1" xfId="1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6" fillId="4" borderId="3" xfId="0" applyFont="1" applyFill="1" applyBorder="1"/>
    <xf numFmtId="0" fontId="11" fillId="4" borderId="1" xfId="0" applyFont="1" applyFill="1" applyBorder="1" applyAlignment="1">
      <alignment horizontal="left" vertical="center" wrapText="1"/>
    </xf>
    <xf numFmtId="166" fontId="11" fillId="4" borderId="1" xfId="1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6" fontId="12" fillId="2" borderId="1" xfId="1" applyNumberFormat="1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6" fontId="11" fillId="2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66" fontId="11" fillId="4" borderId="1" xfId="1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166" fontId="11" fillId="2" borderId="9" xfId="1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" fontId="11" fillId="0" borderId="2" xfId="0" applyNumberFormat="1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 wrapText="1"/>
    </xf>
    <xf numFmtId="166" fontId="11" fillId="2" borderId="5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" fontId="11" fillId="0" borderId="9" xfId="0" applyNumberFormat="1" applyFont="1" applyBorder="1" applyAlignment="1">
      <alignment horizontal="left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0000CC"/>
      <color rgb="FF0066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V364"/>
  <sheetViews>
    <sheetView tabSelected="1" view="pageBreakPreview" topLeftCell="A205" zoomScaleSheetLayoutView="100" workbookViewId="0">
      <selection activeCell="F219" sqref="F219"/>
    </sheetView>
  </sheetViews>
  <sheetFormatPr defaultRowHeight="15" x14ac:dyDescent="0.25"/>
  <cols>
    <col min="1" max="1" width="6.28515625" style="31" customWidth="1"/>
    <col min="2" max="2" width="51.7109375" style="31" customWidth="1"/>
    <col min="3" max="3" width="11.85546875" style="31" customWidth="1"/>
    <col min="4" max="4" width="14.5703125" style="31" customWidth="1"/>
    <col min="5" max="5" width="12.28515625" style="31" customWidth="1"/>
    <col min="6" max="6" width="14.5703125" style="31" customWidth="1"/>
    <col min="7" max="7" width="15.42578125" style="31" customWidth="1"/>
    <col min="8" max="8" width="25.140625" style="31" customWidth="1"/>
    <col min="9" max="9" width="20.7109375" style="31" customWidth="1"/>
    <col min="10" max="16384" width="9.140625" style="31"/>
  </cols>
  <sheetData>
    <row r="1" spans="1:22" ht="15.75" x14ac:dyDescent="0.25">
      <c r="A1" s="29"/>
      <c r="B1" s="29"/>
      <c r="C1" s="29"/>
      <c r="D1" s="29"/>
      <c r="E1" s="29"/>
      <c r="F1" s="29"/>
      <c r="G1" s="29"/>
      <c r="H1" s="30" t="s">
        <v>56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ht="15.75" x14ac:dyDescent="0.25">
      <c r="A2" s="32" t="s">
        <v>107</v>
      </c>
      <c r="B2" s="32"/>
      <c r="C2" s="32"/>
      <c r="D2" s="32"/>
      <c r="E2" s="32"/>
      <c r="F2" s="32"/>
      <c r="G2" s="32"/>
      <c r="H2" s="32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23.25" customHeight="1" x14ac:dyDescent="0.25">
      <c r="A4" s="33" t="s">
        <v>176</v>
      </c>
      <c r="B4" s="34" t="s">
        <v>0</v>
      </c>
      <c r="C4" s="35"/>
      <c r="D4" s="36" t="s">
        <v>44</v>
      </c>
      <c r="E4" s="37"/>
      <c r="F4" s="38"/>
      <c r="G4" s="34" t="s">
        <v>177</v>
      </c>
      <c r="H4" s="39" t="s">
        <v>47</v>
      </c>
      <c r="I4" s="40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58.5" customHeight="1" x14ac:dyDescent="0.25">
      <c r="A5" s="41"/>
      <c r="B5" s="42"/>
      <c r="C5" s="43"/>
      <c r="D5" s="44" t="s">
        <v>178</v>
      </c>
      <c r="E5" s="44" t="s">
        <v>45</v>
      </c>
      <c r="F5" s="44" t="s">
        <v>46</v>
      </c>
      <c r="G5" s="42"/>
      <c r="H5" s="45"/>
      <c r="I5" s="40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3.5" customHeight="1" x14ac:dyDescent="0.25">
      <c r="A6" s="44">
        <v>1</v>
      </c>
      <c r="B6" s="44">
        <v>2</v>
      </c>
      <c r="C6" s="44"/>
      <c r="D6" s="44">
        <v>3</v>
      </c>
      <c r="E6" s="44">
        <v>4</v>
      </c>
      <c r="F6" s="44">
        <v>5</v>
      </c>
      <c r="G6" s="44">
        <v>6</v>
      </c>
      <c r="H6" s="46">
        <v>7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s="48" customFormat="1" ht="18" customHeight="1" x14ac:dyDescent="0.25">
      <c r="A7" s="68" t="s">
        <v>1</v>
      </c>
      <c r="B7" s="84" t="s">
        <v>57</v>
      </c>
      <c r="C7" s="85" t="s">
        <v>108</v>
      </c>
      <c r="D7" s="86"/>
      <c r="E7" s="87"/>
      <c r="F7" s="88">
        <f>(F8+F9+F10)/3</f>
        <v>0.99266666666666659</v>
      </c>
      <c r="G7" s="89">
        <f>0.8*(G11+G15+G19)/3+0.2*F7</f>
        <v>0.96080845925925928</v>
      </c>
      <c r="H7" s="90" t="s">
        <v>49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s="48" customFormat="1" ht="16.5" customHeight="1" x14ac:dyDescent="0.25">
      <c r="A8" s="91"/>
      <c r="B8" s="92"/>
      <c r="C8" s="93">
        <v>2021</v>
      </c>
      <c r="D8" s="66"/>
      <c r="E8" s="67"/>
      <c r="F8" s="94">
        <v>1</v>
      </c>
      <c r="G8" s="95">
        <f>0.8*(G12+G16+G20)/3+0.2*F8</f>
        <v>0.95240000000000014</v>
      </c>
      <c r="H8" s="96" t="s">
        <v>49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</row>
    <row r="9" spans="1:22" s="48" customFormat="1" ht="16.5" customHeight="1" x14ac:dyDescent="0.25">
      <c r="A9" s="91"/>
      <c r="B9" s="92"/>
      <c r="C9" s="93">
        <v>2022</v>
      </c>
      <c r="D9" s="66"/>
      <c r="E9" s="67"/>
      <c r="F9" s="94">
        <v>0.98499999999999999</v>
      </c>
      <c r="G9" s="95">
        <f>0.8*(G13+G17+G21)/3+0.2*F9</f>
        <v>0.94882813333333327</v>
      </c>
      <c r="H9" s="96" t="s">
        <v>49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1:22" s="48" customFormat="1" ht="16.5" customHeight="1" x14ac:dyDescent="0.25">
      <c r="A10" s="91"/>
      <c r="B10" s="92"/>
      <c r="C10" s="93">
        <v>2023</v>
      </c>
      <c r="D10" s="66"/>
      <c r="E10" s="67"/>
      <c r="F10" s="94">
        <v>0.99299999999999999</v>
      </c>
      <c r="G10" s="95">
        <f>0.8*(G14+G18+G22)/3+0.2*F10</f>
        <v>0.97940213333333337</v>
      </c>
      <c r="H10" s="96" t="s">
        <v>49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22" ht="15" customHeight="1" x14ac:dyDescent="0.25">
      <c r="A11" s="49" t="s">
        <v>2</v>
      </c>
      <c r="B11" s="97" t="s">
        <v>144</v>
      </c>
      <c r="C11" s="98" t="s">
        <v>108</v>
      </c>
      <c r="D11" s="99">
        <f>(D12+D13+D14)/3</f>
        <v>0.99933333333333341</v>
      </c>
      <c r="E11" s="99">
        <f>(E12+E13+E14)/3</f>
        <v>1</v>
      </c>
      <c r="F11" s="99">
        <f>(F12+F13+F14)/3</f>
        <v>0.98799999999999999</v>
      </c>
      <c r="G11" s="100">
        <f>D11*(0.5*E11+0.5*F11)</f>
        <v>0.99333733333333341</v>
      </c>
      <c r="H11" s="101" t="s">
        <v>49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ht="17.25" customHeight="1" x14ac:dyDescent="0.25">
      <c r="A12" s="52"/>
      <c r="B12" s="102"/>
      <c r="C12" s="103">
        <v>2021</v>
      </c>
      <c r="D12" s="104">
        <v>1</v>
      </c>
      <c r="E12" s="104">
        <v>1</v>
      </c>
      <c r="F12" s="104">
        <v>0.97499999999999998</v>
      </c>
      <c r="G12" s="105">
        <f t="shared" ref="G12:G14" si="0">D12*(0.5*E12+0.5*F12)</f>
        <v>0.98750000000000004</v>
      </c>
      <c r="H12" s="106" t="s">
        <v>49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17.25" customHeight="1" x14ac:dyDescent="0.25">
      <c r="A13" s="52"/>
      <c r="B13" s="102"/>
      <c r="C13" s="103">
        <v>2022</v>
      </c>
      <c r="D13" s="104">
        <v>1</v>
      </c>
      <c r="E13" s="104">
        <v>1</v>
      </c>
      <c r="F13" s="104">
        <v>0.997</v>
      </c>
      <c r="G13" s="105">
        <f t="shared" si="0"/>
        <v>0.99849999999999994</v>
      </c>
      <c r="H13" s="106" t="s">
        <v>49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ht="17.25" customHeight="1" x14ac:dyDescent="0.25">
      <c r="A14" s="52"/>
      <c r="B14" s="102"/>
      <c r="C14" s="103">
        <v>2023</v>
      </c>
      <c r="D14" s="104">
        <v>0.998</v>
      </c>
      <c r="E14" s="104">
        <v>1</v>
      </c>
      <c r="F14" s="104">
        <v>0.99199999999999999</v>
      </c>
      <c r="G14" s="105">
        <f t="shared" si="0"/>
        <v>0.994008</v>
      </c>
      <c r="H14" s="106" t="s">
        <v>49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17.25" customHeight="1" x14ac:dyDescent="0.25">
      <c r="A15" s="49" t="s">
        <v>3</v>
      </c>
      <c r="B15" s="107" t="s">
        <v>145</v>
      </c>
      <c r="C15" s="98" t="s">
        <v>108</v>
      </c>
      <c r="D15" s="99">
        <f>(D16+0.982+1)/3</f>
        <v>0.95233333333333337</v>
      </c>
      <c r="E15" s="99">
        <f>(E16+E17+E18)/3</f>
        <v>0.87666666666666659</v>
      </c>
      <c r="F15" s="99">
        <f>(F16+F17+F18)/3</f>
        <v>0.9966666666666667</v>
      </c>
      <c r="G15" s="100">
        <f>D15*(0.5*E15+0.5*F15)</f>
        <v>0.89201888888888892</v>
      </c>
      <c r="H15" s="101" t="s">
        <v>48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17.25" customHeight="1" x14ac:dyDescent="0.25">
      <c r="A16" s="108"/>
      <c r="B16" s="109"/>
      <c r="C16" s="103">
        <v>2021</v>
      </c>
      <c r="D16" s="104">
        <v>0.875</v>
      </c>
      <c r="E16" s="104">
        <v>1</v>
      </c>
      <c r="F16" s="104">
        <v>1</v>
      </c>
      <c r="G16" s="105">
        <f t="shared" ref="G16:G22" si="1">D16*(0.5*E16+0.5*F16)</f>
        <v>0.875</v>
      </c>
      <c r="H16" s="106" t="s">
        <v>48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17.25" customHeight="1" x14ac:dyDescent="0.25">
      <c r="A17" s="108"/>
      <c r="B17" s="109"/>
      <c r="C17" s="103">
        <v>2022</v>
      </c>
      <c r="D17" s="104" t="s">
        <v>109</v>
      </c>
      <c r="E17" s="104">
        <v>0.75</v>
      </c>
      <c r="F17" s="104">
        <v>0.99199999999999999</v>
      </c>
      <c r="G17" s="105">
        <f>0.982*(0.5*E17+0.5*F17)</f>
        <v>0.85532200000000003</v>
      </c>
      <c r="H17" s="110" t="s">
        <v>179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ht="16.5" customHeight="1" x14ac:dyDescent="0.25">
      <c r="A18" s="108"/>
      <c r="B18" s="109"/>
      <c r="C18" s="103">
        <v>2023</v>
      </c>
      <c r="D18" s="104" t="s">
        <v>146</v>
      </c>
      <c r="E18" s="104">
        <v>0.88</v>
      </c>
      <c r="F18" s="104">
        <v>0.998</v>
      </c>
      <c r="G18" s="105">
        <f>1*(0.5*E18+0.5*F18)</f>
        <v>0.93900000000000006</v>
      </c>
      <c r="H18" s="110" t="s">
        <v>179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ht="17.25" customHeight="1" x14ac:dyDescent="0.25">
      <c r="A19" s="49" t="s">
        <v>4</v>
      </c>
      <c r="B19" s="97" t="s">
        <v>5</v>
      </c>
      <c r="C19" s="98" t="s">
        <v>108</v>
      </c>
      <c r="D19" s="99">
        <f>(D20+D21+D22)/3</f>
        <v>0.9996666666666667</v>
      </c>
      <c r="E19" s="99">
        <f>(E20+E21+E22)/3</f>
        <v>0.98133333333333328</v>
      </c>
      <c r="F19" s="99">
        <f>(F20+F21+F22)/3</f>
        <v>0.96566666666666678</v>
      </c>
      <c r="G19" s="100">
        <f>D19*(0.5*E19+0.5*F19)</f>
        <v>0.97317550000000008</v>
      </c>
      <c r="H19" s="101" t="s">
        <v>49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15" customHeight="1" x14ac:dyDescent="0.25">
      <c r="A20" s="52"/>
      <c r="B20" s="111"/>
      <c r="C20" s="103">
        <v>2021</v>
      </c>
      <c r="D20" s="104">
        <v>1</v>
      </c>
      <c r="E20" s="104">
        <v>1</v>
      </c>
      <c r="F20" s="104">
        <v>0.91800000000000004</v>
      </c>
      <c r="G20" s="105">
        <f t="shared" si="1"/>
        <v>0.95900000000000007</v>
      </c>
      <c r="H20" s="106" t="s">
        <v>49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15" customHeight="1" x14ac:dyDescent="0.25">
      <c r="A21" s="52"/>
      <c r="B21" s="111"/>
      <c r="C21" s="103">
        <v>2022</v>
      </c>
      <c r="D21" s="104">
        <v>0.999</v>
      </c>
      <c r="E21" s="104">
        <v>0.94399999999999995</v>
      </c>
      <c r="F21" s="104">
        <v>0.98899999999999999</v>
      </c>
      <c r="G21" s="105">
        <f t="shared" si="1"/>
        <v>0.96553349999999993</v>
      </c>
      <c r="H21" s="106" t="s">
        <v>49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15.75" customHeight="1" x14ac:dyDescent="0.25">
      <c r="A22" s="52"/>
      <c r="B22" s="111"/>
      <c r="C22" s="103">
        <v>2023</v>
      </c>
      <c r="D22" s="104">
        <v>1</v>
      </c>
      <c r="E22" s="104">
        <v>1</v>
      </c>
      <c r="F22" s="104">
        <v>0.99</v>
      </c>
      <c r="G22" s="105">
        <f t="shared" si="1"/>
        <v>0.995</v>
      </c>
      <c r="H22" s="106" t="s">
        <v>49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s="48" customFormat="1" ht="17.25" customHeight="1" x14ac:dyDescent="0.25">
      <c r="A23" s="68" t="s">
        <v>7</v>
      </c>
      <c r="B23" s="84" t="s">
        <v>8</v>
      </c>
      <c r="C23" s="85" t="s">
        <v>108</v>
      </c>
      <c r="D23" s="86"/>
      <c r="E23" s="87"/>
      <c r="F23" s="88">
        <f>(F24+F25+F26)/3</f>
        <v>0.99833333333333341</v>
      </c>
      <c r="G23" s="89">
        <f>0.8*(G27+G31)/2+0.2*F23</f>
        <v>0.92996097777777786</v>
      </c>
      <c r="H23" s="90" t="s">
        <v>48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</row>
    <row r="24" spans="1:22" s="48" customFormat="1" ht="17.25" customHeight="1" x14ac:dyDescent="0.25">
      <c r="A24" s="112"/>
      <c r="B24" s="113"/>
      <c r="C24" s="93">
        <v>2021</v>
      </c>
      <c r="D24" s="66"/>
      <c r="E24" s="67"/>
      <c r="F24" s="94">
        <v>0.998</v>
      </c>
      <c r="G24" s="95">
        <f>0.8*(G28+G32)/2+0.2*F24+0.01</f>
        <v>0.93487760000000009</v>
      </c>
      <c r="H24" s="96" t="s">
        <v>48</v>
      </c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1:22" s="48" customFormat="1" ht="17.25" customHeight="1" x14ac:dyDescent="0.25">
      <c r="A25" s="112"/>
      <c r="B25" s="113"/>
      <c r="C25" s="93">
        <v>2022</v>
      </c>
      <c r="D25" s="66"/>
      <c r="E25" s="67"/>
      <c r="F25" s="94">
        <v>0.999</v>
      </c>
      <c r="G25" s="95">
        <f>0.8*(G29+G33)/2+0.2*F25</f>
        <v>0.93461320000000003</v>
      </c>
      <c r="H25" s="96" t="s">
        <v>48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  <row r="26" spans="1:22" s="48" customFormat="1" ht="17.25" customHeight="1" x14ac:dyDescent="0.25">
      <c r="A26" s="112"/>
      <c r="B26" s="113"/>
      <c r="C26" s="93">
        <v>2023</v>
      </c>
      <c r="D26" s="66"/>
      <c r="E26" s="67"/>
      <c r="F26" s="94">
        <v>0.998</v>
      </c>
      <c r="G26" s="95">
        <f>0.8*(G29+G34)/2+0.2*F26+0.01</f>
        <v>0.93206279999999997</v>
      </c>
      <c r="H26" s="96" t="s">
        <v>48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</row>
    <row r="27" spans="1:22" s="51" customFormat="1" ht="18" customHeight="1" x14ac:dyDescent="0.25">
      <c r="A27" s="49" t="s">
        <v>10</v>
      </c>
      <c r="B27" s="97" t="s">
        <v>131</v>
      </c>
      <c r="C27" s="98" t="s">
        <v>108</v>
      </c>
      <c r="D27" s="114">
        <f>(D28+D29+D30)/3</f>
        <v>0.95266666666666666</v>
      </c>
      <c r="E27" s="114">
        <f>(E28+E29+E30)/3</f>
        <v>0.91733333333333344</v>
      </c>
      <c r="F27" s="114">
        <f>(F28+F29+F30)/3</f>
        <v>0.88166666666666671</v>
      </c>
      <c r="G27" s="100">
        <f>D27*(0.5*E27+0.5*F27)</f>
        <v>0.85692366666666675</v>
      </c>
      <c r="H27" s="115" t="s">
        <v>48</v>
      </c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1:22" s="51" customFormat="1" ht="18" customHeight="1" x14ac:dyDescent="0.25">
      <c r="A28" s="52"/>
      <c r="B28" s="102"/>
      <c r="C28" s="103">
        <v>2021</v>
      </c>
      <c r="D28" s="104">
        <v>0.92500000000000004</v>
      </c>
      <c r="E28" s="104">
        <v>0.88900000000000001</v>
      </c>
      <c r="F28" s="104">
        <v>0.92300000000000004</v>
      </c>
      <c r="G28" s="105">
        <f t="shared" ref="G28:G34" si="2">D28*(0.5*E28+0.5*F28)</f>
        <v>0.83805000000000007</v>
      </c>
      <c r="H28" s="116" t="s">
        <v>48</v>
      </c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2" s="51" customFormat="1" ht="18" customHeight="1" x14ac:dyDescent="0.25">
      <c r="A29" s="52"/>
      <c r="B29" s="102"/>
      <c r="C29" s="103">
        <v>2022</v>
      </c>
      <c r="D29" s="104">
        <v>0.95799999999999996</v>
      </c>
      <c r="E29" s="104">
        <v>0.92900000000000005</v>
      </c>
      <c r="F29" s="104">
        <v>0.85799999999999998</v>
      </c>
      <c r="G29" s="105">
        <f t="shared" si="2"/>
        <v>0.85597299999999998</v>
      </c>
      <c r="H29" s="116" t="s">
        <v>48</v>
      </c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1:22" s="51" customFormat="1" ht="18" customHeight="1" x14ac:dyDescent="0.25">
      <c r="A30" s="52"/>
      <c r="B30" s="102"/>
      <c r="C30" s="103">
        <v>2023</v>
      </c>
      <c r="D30" s="104">
        <v>0.97499999999999998</v>
      </c>
      <c r="E30" s="104">
        <v>0.93400000000000005</v>
      </c>
      <c r="F30" s="104">
        <v>0.86399999999999999</v>
      </c>
      <c r="G30" s="105">
        <f>D30*(0.5*E30+0.5*F30)</f>
        <v>0.876525</v>
      </c>
      <c r="H30" s="116" t="s">
        <v>48</v>
      </c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</row>
    <row r="31" spans="1:22" ht="18.75" customHeight="1" x14ac:dyDescent="0.25">
      <c r="A31" s="49" t="s">
        <v>11</v>
      </c>
      <c r="B31" s="97" t="s">
        <v>147</v>
      </c>
      <c r="C31" s="98" t="s">
        <v>108</v>
      </c>
      <c r="D31" s="99">
        <f>(D32+D33+D34)/3</f>
        <v>0.9943333333333334</v>
      </c>
      <c r="E31" s="99">
        <f>(E32+E33+E34)/3</f>
        <v>1</v>
      </c>
      <c r="F31" s="99">
        <f>(F32+F33+F34)/3</f>
        <v>0.94866666666666666</v>
      </c>
      <c r="G31" s="100">
        <f>D31*(0.5*E31+0.5*F31)</f>
        <v>0.9688121111111111</v>
      </c>
      <c r="H31" s="117" t="s">
        <v>49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18.75" customHeight="1" x14ac:dyDescent="0.25">
      <c r="A32" s="52"/>
      <c r="B32" s="102"/>
      <c r="C32" s="103">
        <v>2021</v>
      </c>
      <c r="D32" s="104">
        <v>0.99099999999999999</v>
      </c>
      <c r="E32" s="104">
        <v>1</v>
      </c>
      <c r="F32" s="104">
        <v>0.96799999999999997</v>
      </c>
      <c r="G32" s="105">
        <f t="shared" si="2"/>
        <v>0.97514400000000001</v>
      </c>
      <c r="H32" s="116" t="s">
        <v>49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18.75" customHeight="1" x14ac:dyDescent="0.25">
      <c r="A33" s="52"/>
      <c r="B33" s="102"/>
      <c r="C33" s="103">
        <v>2022</v>
      </c>
      <c r="D33" s="104">
        <v>0.996</v>
      </c>
      <c r="E33" s="104">
        <v>1</v>
      </c>
      <c r="F33" s="104">
        <v>0.97</v>
      </c>
      <c r="G33" s="105">
        <f t="shared" si="2"/>
        <v>0.98105999999999993</v>
      </c>
      <c r="H33" s="116" t="s">
        <v>49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18.75" customHeight="1" x14ac:dyDescent="0.25">
      <c r="A34" s="52"/>
      <c r="B34" s="102"/>
      <c r="C34" s="103">
        <v>2023</v>
      </c>
      <c r="D34" s="104">
        <v>0.996</v>
      </c>
      <c r="E34" s="104">
        <v>1</v>
      </c>
      <c r="F34" s="104">
        <v>0.90800000000000003</v>
      </c>
      <c r="G34" s="105">
        <f t="shared" si="2"/>
        <v>0.95018399999999992</v>
      </c>
      <c r="H34" s="116" t="s">
        <v>49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s="48" customFormat="1" ht="17.25" customHeight="1" x14ac:dyDescent="0.25">
      <c r="A35" s="68" t="s">
        <v>12</v>
      </c>
      <c r="B35" s="84" t="s">
        <v>13</v>
      </c>
      <c r="C35" s="85" t="s">
        <v>108</v>
      </c>
      <c r="D35" s="86"/>
      <c r="E35" s="87"/>
      <c r="F35" s="88">
        <f>(F36+F37+F38)/3</f>
        <v>1</v>
      </c>
      <c r="G35" s="89">
        <f>0.8*(G39+G43+G47)/3+0.2*F35</f>
        <v>0.96982799999999991</v>
      </c>
      <c r="H35" s="90" t="s">
        <v>49</v>
      </c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</row>
    <row r="36" spans="1:22" s="48" customFormat="1" ht="17.25" customHeight="1" x14ac:dyDescent="0.25">
      <c r="A36" s="112"/>
      <c r="B36" s="118"/>
      <c r="C36" s="93">
        <v>2021</v>
      </c>
      <c r="D36" s="66"/>
      <c r="E36" s="67"/>
      <c r="F36" s="94">
        <v>1</v>
      </c>
      <c r="G36" s="95">
        <f>0.8*(G40+G44+G48)/3+0.2*F36</f>
        <v>0.94064066666666668</v>
      </c>
      <c r="H36" s="96" t="s">
        <v>49</v>
      </c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1:22" s="48" customFormat="1" ht="17.25" customHeight="1" x14ac:dyDescent="0.25">
      <c r="A37" s="112"/>
      <c r="B37" s="118"/>
      <c r="C37" s="93">
        <v>2022</v>
      </c>
      <c r="D37" s="66"/>
      <c r="E37" s="67"/>
      <c r="F37" s="94">
        <v>1</v>
      </c>
      <c r="G37" s="95">
        <f>0.8*(G41+G45+G49)/3+0.2*F37</f>
        <v>0.978132</v>
      </c>
      <c r="H37" s="96" t="s">
        <v>49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 s="48" customFormat="1" ht="17.25" customHeight="1" x14ac:dyDescent="0.25">
      <c r="A38" s="112"/>
      <c r="B38" s="118"/>
      <c r="C38" s="93">
        <v>2023</v>
      </c>
      <c r="D38" s="66"/>
      <c r="E38" s="67"/>
      <c r="F38" s="94">
        <v>1</v>
      </c>
      <c r="G38" s="95">
        <f>0.8*(G42+G46+G50)/3+0.2*F38</f>
        <v>0.99120826666666662</v>
      </c>
      <c r="H38" s="96" t="s">
        <v>49</v>
      </c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8.75" customHeight="1" x14ac:dyDescent="0.25">
      <c r="A39" s="49" t="s">
        <v>14</v>
      </c>
      <c r="B39" s="119" t="s">
        <v>148</v>
      </c>
      <c r="C39" s="98" t="s">
        <v>108</v>
      </c>
      <c r="D39" s="99">
        <f>(D40+D41+D42)/3</f>
        <v>0.99099999999999999</v>
      </c>
      <c r="E39" s="99">
        <f>(E40+E41+E42)/3</f>
        <v>0.97433333333333338</v>
      </c>
      <c r="F39" s="99">
        <f>(F40+F41+F42)/3</f>
        <v>0.95400000000000007</v>
      </c>
      <c r="G39" s="100">
        <f>D39*(0.5*E39+0.5*F39)</f>
        <v>0.95548916666666672</v>
      </c>
      <c r="H39" s="117" t="s">
        <v>49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ht="18.75" customHeight="1" x14ac:dyDescent="0.25">
      <c r="A40" s="52"/>
      <c r="B40" s="120"/>
      <c r="C40" s="103">
        <v>2021</v>
      </c>
      <c r="D40" s="104">
        <v>0.97299999999999998</v>
      </c>
      <c r="E40" s="104">
        <v>0.92300000000000004</v>
      </c>
      <c r="F40" s="104">
        <v>0.86199999999999999</v>
      </c>
      <c r="G40" s="105">
        <f t="shared" ref="G40:G42" si="3">D40*(0.5*E40+0.5*F40)</f>
        <v>0.86840250000000008</v>
      </c>
      <c r="H40" s="116" t="s">
        <v>48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ht="18.75" customHeight="1" x14ac:dyDescent="0.25">
      <c r="A41" s="52"/>
      <c r="B41" s="120"/>
      <c r="C41" s="103">
        <v>2022</v>
      </c>
      <c r="D41" s="104">
        <v>1</v>
      </c>
      <c r="E41" s="104">
        <v>1</v>
      </c>
      <c r="F41" s="104">
        <v>1</v>
      </c>
      <c r="G41" s="105">
        <f t="shared" si="3"/>
        <v>1</v>
      </c>
      <c r="H41" s="116" t="s">
        <v>49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ht="18.75" customHeight="1" x14ac:dyDescent="0.25">
      <c r="A42" s="52"/>
      <c r="B42" s="120"/>
      <c r="C42" s="103">
        <v>2023</v>
      </c>
      <c r="D42" s="104">
        <v>1</v>
      </c>
      <c r="E42" s="104">
        <v>1</v>
      </c>
      <c r="F42" s="104">
        <v>1</v>
      </c>
      <c r="G42" s="105">
        <f t="shared" si="3"/>
        <v>1</v>
      </c>
      <c r="H42" s="116" t="s">
        <v>49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ht="18" customHeight="1" x14ac:dyDescent="0.25">
      <c r="A43" s="49" t="s">
        <v>15</v>
      </c>
      <c r="B43" s="97" t="s">
        <v>149</v>
      </c>
      <c r="C43" s="98" t="s">
        <v>108</v>
      </c>
      <c r="D43" s="99">
        <f>(D44+D45+D46)/3</f>
        <v>0.99099999999999999</v>
      </c>
      <c r="E43" s="99">
        <f>(E44+E45+E46)/3</f>
        <v>0.92433333333333323</v>
      </c>
      <c r="F43" s="99">
        <f>(F44+F45+F46)/3</f>
        <v>0.95733333333333326</v>
      </c>
      <c r="G43" s="100">
        <f>D43*(0.5*E43+0.5*F43)</f>
        <v>0.93236583333333323</v>
      </c>
      <c r="H43" s="101" t="s">
        <v>48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ht="18" customHeight="1" x14ac:dyDescent="0.25">
      <c r="A44" s="108"/>
      <c r="B44" s="121"/>
      <c r="C44" s="103">
        <v>2021</v>
      </c>
      <c r="D44" s="104">
        <v>1</v>
      </c>
      <c r="E44" s="104">
        <v>0.95</v>
      </c>
      <c r="F44" s="104">
        <v>0.872</v>
      </c>
      <c r="G44" s="105">
        <f t="shared" ref="G44:G76" si="4">D44*(0.5*E44+0.5*F44)</f>
        <v>0.91100000000000003</v>
      </c>
      <c r="H44" s="106" t="s">
        <v>48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ht="18" customHeight="1" x14ac:dyDescent="0.25">
      <c r="A45" s="52"/>
      <c r="B45" s="102"/>
      <c r="C45" s="103">
        <v>2022</v>
      </c>
      <c r="D45" s="104">
        <v>0.97399999999999998</v>
      </c>
      <c r="E45" s="104">
        <v>0.88500000000000001</v>
      </c>
      <c r="F45" s="104">
        <v>1</v>
      </c>
      <c r="G45" s="105">
        <f t="shared" si="4"/>
        <v>0.91799500000000001</v>
      </c>
      <c r="H45" s="106" t="s">
        <v>48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</row>
    <row r="46" spans="1:22" ht="18" customHeight="1" x14ac:dyDescent="0.25">
      <c r="A46" s="52"/>
      <c r="B46" s="102"/>
      <c r="C46" s="103">
        <v>2023</v>
      </c>
      <c r="D46" s="104">
        <v>0.999</v>
      </c>
      <c r="E46" s="104">
        <v>0.93799999999999994</v>
      </c>
      <c r="F46" s="104">
        <v>1</v>
      </c>
      <c r="G46" s="105">
        <f t="shared" si="4"/>
        <v>0.96803099999999997</v>
      </c>
      <c r="H46" s="106" t="s">
        <v>49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</row>
    <row r="47" spans="1:22" ht="18.75" customHeight="1" x14ac:dyDescent="0.25">
      <c r="A47" s="49" t="s">
        <v>16</v>
      </c>
      <c r="B47" s="97" t="s">
        <v>17</v>
      </c>
      <c r="C47" s="98" t="s">
        <v>108</v>
      </c>
      <c r="D47" s="99">
        <f>(D48+D49+D50)/3</f>
        <v>1</v>
      </c>
      <c r="E47" s="99">
        <f>(E48+E49+E50)/3</f>
        <v>1</v>
      </c>
      <c r="F47" s="99">
        <f>(F48+F49+F50)/3</f>
        <v>0.99799999999999989</v>
      </c>
      <c r="G47" s="100">
        <f>D47*(0.5*E47+0.5*F47)</f>
        <v>0.99899999999999989</v>
      </c>
      <c r="H47" s="101" t="s">
        <v>49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22" ht="18.75" customHeight="1" x14ac:dyDescent="0.25">
      <c r="A48" s="108"/>
      <c r="B48" s="121"/>
      <c r="C48" s="103">
        <v>2021</v>
      </c>
      <c r="D48" s="104">
        <v>1</v>
      </c>
      <c r="E48" s="104">
        <v>1</v>
      </c>
      <c r="F48" s="104">
        <v>0.996</v>
      </c>
      <c r="G48" s="105">
        <f>D48*(0.5*E48+0.5*F48)</f>
        <v>0.998</v>
      </c>
      <c r="H48" s="106" t="s">
        <v>49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  <row r="49" spans="1:22" ht="18.75" customHeight="1" x14ac:dyDescent="0.25">
      <c r="A49" s="52"/>
      <c r="B49" s="102"/>
      <c r="C49" s="103">
        <v>2022</v>
      </c>
      <c r="D49" s="104">
        <v>1</v>
      </c>
      <c r="E49" s="104">
        <v>1</v>
      </c>
      <c r="F49" s="104">
        <v>1</v>
      </c>
      <c r="G49" s="105">
        <f>D49*(0.5*E49+0.5*F49)</f>
        <v>1</v>
      </c>
      <c r="H49" s="106" t="s">
        <v>49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</row>
    <row r="50" spans="1:22" ht="18.75" customHeight="1" x14ac:dyDescent="0.25">
      <c r="A50" s="52"/>
      <c r="B50" s="102"/>
      <c r="C50" s="103">
        <v>2023</v>
      </c>
      <c r="D50" s="104">
        <v>1</v>
      </c>
      <c r="E50" s="104">
        <v>1</v>
      </c>
      <c r="F50" s="104">
        <v>0.998</v>
      </c>
      <c r="G50" s="105">
        <f>D50*(0.5*E50+0.5*F50)</f>
        <v>0.999</v>
      </c>
      <c r="H50" s="106" t="s">
        <v>49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</row>
    <row r="51" spans="1:22" s="48" customFormat="1" ht="18" customHeight="1" x14ac:dyDescent="0.25">
      <c r="A51" s="122" t="s">
        <v>18</v>
      </c>
      <c r="B51" s="123" t="s">
        <v>58</v>
      </c>
      <c r="C51" s="85" t="s">
        <v>108</v>
      </c>
      <c r="D51" s="86"/>
      <c r="E51" s="87"/>
      <c r="F51" s="88">
        <f>(F52+F54+F53)/3</f>
        <v>0.95033333333333336</v>
      </c>
      <c r="G51" s="89">
        <f>0.8*(G55+G59+G63+G67+G71)/5+0.2*F51</f>
        <v>0.90340552888888892</v>
      </c>
      <c r="H51" s="90" t="s">
        <v>48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</row>
    <row r="52" spans="1:22" s="48" customFormat="1" ht="18" customHeight="1" x14ac:dyDescent="0.25">
      <c r="A52" s="112"/>
      <c r="B52" s="124"/>
      <c r="C52" s="93">
        <v>2021</v>
      </c>
      <c r="D52" s="66"/>
      <c r="E52" s="66"/>
      <c r="F52" s="125">
        <v>0.95799999999999996</v>
      </c>
      <c r="G52" s="95">
        <f>0.8*(G56+G60+G64+G68+G72)/5+0.2*F52</f>
        <v>0.92224000000000006</v>
      </c>
      <c r="H52" s="126" t="s">
        <v>48</v>
      </c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</row>
    <row r="53" spans="1:22" s="48" customFormat="1" ht="18" customHeight="1" x14ac:dyDescent="0.25">
      <c r="A53" s="112"/>
      <c r="B53" s="124"/>
      <c r="C53" s="93">
        <v>2022</v>
      </c>
      <c r="D53" s="66"/>
      <c r="E53" s="66"/>
      <c r="F53" s="125">
        <v>0.95</v>
      </c>
      <c r="G53" s="95">
        <f>0.8*(G57+G61+G65+G69+G73)/5+0.2*F53</f>
        <v>0.85410031999999991</v>
      </c>
      <c r="H53" s="126" t="s">
        <v>48</v>
      </c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</row>
    <row r="54" spans="1:22" s="48" customFormat="1" ht="18" customHeight="1" x14ac:dyDescent="0.25">
      <c r="A54" s="112"/>
      <c r="B54" s="124"/>
      <c r="C54" s="93">
        <v>2023</v>
      </c>
      <c r="D54" s="66"/>
      <c r="E54" s="66"/>
      <c r="F54" s="125">
        <v>0.94299999999999995</v>
      </c>
      <c r="G54" s="95">
        <f>0.8*(G58+G62+G66+G70+G74)/5+0.2*F54</f>
        <v>0.94109255999999997</v>
      </c>
      <c r="H54" s="126" t="s">
        <v>48</v>
      </c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</row>
    <row r="55" spans="1:22" ht="18" customHeight="1" x14ac:dyDescent="0.25">
      <c r="A55" s="49" t="s">
        <v>29</v>
      </c>
      <c r="B55" s="97" t="s">
        <v>150</v>
      </c>
      <c r="C55" s="98" t="s">
        <v>108</v>
      </c>
      <c r="D55" s="99">
        <f>(1+D57+D58)/3</f>
        <v>1</v>
      </c>
      <c r="E55" s="99">
        <f>(E56+E57+E58)/3</f>
        <v>0.84066666666666678</v>
      </c>
      <c r="F55" s="99">
        <f>(F56+F57+F58)/3</f>
        <v>0.94999999999999984</v>
      </c>
      <c r="G55" s="100">
        <f>D55*(0.5*E55+0.5*F55)</f>
        <v>0.89533333333333331</v>
      </c>
      <c r="H55" s="101" t="s">
        <v>48</v>
      </c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</row>
    <row r="56" spans="1:22" ht="18" customHeight="1" x14ac:dyDescent="0.25">
      <c r="A56" s="52"/>
      <c r="B56" s="102"/>
      <c r="C56" s="103">
        <v>2021</v>
      </c>
      <c r="D56" s="104">
        <v>1</v>
      </c>
      <c r="E56" s="104">
        <v>0.875</v>
      </c>
      <c r="F56" s="104">
        <v>0.90100000000000002</v>
      </c>
      <c r="G56" s="105">
        <f>D56*(0.5*E56+0.5*F56)</f>
        <v>0.88800000000000001</v>
      </c>
      <c r="H56" s="106" t="s">
        <v>48</v>
      </c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</row>
    <row r="57" spans="1:22" ht="18" customHeight="1" x14ac:dyDescent="0.25">
      <c r="A57" s="52"/>
      <c r="B57" s="102"/>
      <c r="C57" s="103">
        <v>2022</v>
      </c>
      <c r="D57" s="104">
        <v>1</v>
      </c>
      <c r="E57" s="104">
        <v>0.71399999999999997</v>
      </c>
      <c r="F57" s="104">
        <v>0.97899999999999998</v>
      </c>
      <c r="G57" s="105">
        <f>D57*(0.5*E57+0.5*F57)</f>
        <v>0.84650000000000003</v>
      </c>
      <c r="H57" s="106" t="s">
        <v>48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</row>
    <row r="58" spans="1:22" ht="18" customHeight="1" x14ac:dyDescent="0.25">
      <c r="A58" s="52"/>
      <c r="B58" s="102"/>
      <c r="C58" s="103">
        <v>2023</v>
      </c>
      <c r="D58" s="104">
        <v>1</v>
      </c>
      <c r="E58" s="104">
        <v>0.93300000000000005</v>
      </c>
      <c r="F58" s="104">
        <v>0.97</v>
      </c>
      <c r="G58" s="105">
        <f>D58*(0.5*E58+0.5*F58)</f>
        <v>0.95150000000000001</v>
      </c>
      <c r="H58" s="106" t="s">
        <v>49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</row>
    <row r="59" spans="1:22" ht="19.5" customHeight="1" x14ac:dyDescent="0.25">
      <c r="A59" s="49" t="s">
        <v>41</v>
      </c>
      <c r="B59" s="97" t="s">
        <v>151</v>
      </c>
      <c r="C59" s="98" t="s">
        <v>108</v>
      </c>
      <c r="D59" s="99">
        <f>(D60+D61+D62)/3</f>
        <v>1</v>
      </c>
      <c r="E59" s="99">
        <f>(E60+E61+E62)/3</f>
        <v>0.92066666666666663</v>
      </c>
      <c r="F59" s="99">
        <f>(F60+F61+F62)/3</f>
        <v>0.97066666666666668</v>
      </c>
      <c r="G59" s="100">
        <f>D59*(0.5*E59+0.5*F59)</f>
        <v>0.94566666666666666</v>
      </c>
      <c r="H59" s="101" t="s">
        <v>49</v>
      </c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</row>
    <row r="60" spans="1:22" ht="19.5" customHeight="1" x14ac:dyDescent="0.25">
      <c r="A60" s="52"/>
      <c r="B60" s="102"/>
      <c r="C60" s="103">
        <v>2021</v>
      </c>
      <c r="D60" s="104">
        <v>1</v>
      </c>
      <c r="E60" s="104">
        <v>0.90500000000000003</v>
      </c>
      <c r="F60" s="104">
        <v>0.92600000000000005</v>
      </c>
      <c r="G60" s="105">
        <f t="shared" ref="G60:G64" si="5">D60*(0.5*E60+0.5*F60)</f>
        <v>0.91549999999999998</v>
      </c>
      <c r="H60" s="106" t="s">
        <v>48</v>
      </c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</row>
    <row r="61" spans="1:22" ht="19.5" customHeight="1" x14ac:dyDescent="0.25">
      <c r="A61" s="52"/>
      <c r="B61" s="102"/>
      <c r="C61" s="103">
        <v>2022</v>
      </c>
      <c r="D61" s="104">
        <v>1</v>
      </c>
      <c r="E61" s="104">
        <v>0.95199999999999996</v>
      </c>
      <c r="F61" s="104">
        <v>0.99399999999999999</v>
      </c>
      <c r="G61" s="105">
        <f t="shared" si="5"/>
        <v>0.97299999999999998</v>
      </c>
      <c r="H61" s="106" t="s">
        <v>49</v>
      </c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</row>
    <row r="62" spans="1:22" ht="19.5" customHeight="1" x14ac:dyDescent="0.25">
      <c r="A62" s="52"/>
      <c r="B62" s="102"/>
      <c r="C62" s="103">
        <v>2023</v>
      </c>
      <c r="D62" s="104">
        <v>1</v>
      </c>
      <c r="E62" s="104">
        <v>0.90500000000000003</v>
      </c>
      <c r="F62" s="104">
        <v>0.99199999999999999</v>
      </c>
      <c r="G62" s="105">
        <f t="shared" si="5"/>
        <v>0.94850000000000001</v>
      </c>
      <c r="H62" s="106" t="s">
        <v>49</v>
      </c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</row>
    <row r="63" spans="1:22" ht="18.75" customHeight="1" x14ac:dyDescent="0.25">
      <c r="A63" s="49" t="s">
        <v>30</v>
      </c>
      <c r="B63" s="97" t="s">
        <v>152</v>
      </c>
      <c r="C63" s="98" t="s">
        <v>108</v>
      </c>
      <c r="D63" s="99">
        <f>(D64+0.986+D66)/3</f>
        <v>0.98699999999999999</v>
      </c>
      <c r="E63" s="99">
        <f>(E64+E65+E66)/3</f>
        <v>0.95066666666666677</v>
      </c>
      <c r="F63" s="99">
        <f>(F64+F65+F66)/3</f>
        <v>0.94999999999999984</v>
      </c>
      <c r="G63" s="100">
        <f>D63*(0.5*E63+0.5*F63)</f>
        <v>0.9379789999999999</v>
      </c>
      <c r="H63" s="127" t="s">
        <v>48</v>
      </c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</row>
    <row r="64" spans="1:22" ht="18.75" customHeight="1" x14ac:dyDescent="0.25">
      <c r="A64" s="52"/>
      <c r="B64" s="102"/>
      <c r="C64" s="103">
        <v>2021</v>
      </c>
      <c r="D64" s="104">
        <v>0.98799999999999999</v>
      </c>
      <c r="E64" s="104">
        <v>1</v>
      </c>
      <c r="F64" s="104">
        <v>1</v>
      </c>
      <c r="G64" s="105">
        <f t="shared" si="5"/>
        <v>0.98799999999999999</v>
      </c>
      <c r="H64" s="110" t="s">
        <v>49</v>
      </c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1:22" ht="18.75" customHeight="1" x14ac:dyDescent="0.25">
      <c r="A65" s="52"/>
      <c r="B65" s="102"/>
      <c r="C65" s="103">
        <v>2022</v>
      </c>
      <c r="D65" s="104">
        <v>0.99399999999999999</v>
      </c>
      <c r="E65" s="104">
        <v>0.92300000000000004</v>
      </c>
      <c r="F65" s="104">
        <v>0.86799999999999999</v>
      </c>
      <c r="G65" s="105">
        <f>D65*(0.5*E65+0.5*F65)</f>
        <v>0.890127</v>
      </c>
      <c r="H65" s="110" t="s">
        <v>48</v>
      </c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</row>
    <row r="66" spans="1:22" ht="18.75" customHeight="1" x14ac:dyDescent="0.25">
      <c r="A66" s="52"/>
      <c r="B66" s="102"/>
      <c r="C66" s="103">
        <v>2023</v>
      </c>
      <c r="D66" s="104">
        <v>0.98699999999999999</v>
      </c>
      <c r="E66" s="104">
        <v>0.92900000000000005</v>
      </c>
      <c r="F66" s="104">
        <v>0.98199999999999998</v>
      </c>
      <c r="G66" s="105">
        <f>D66*(0.5*E66+0.5*F66)</f>
        <v>0.94307850000000004</v>
      </c>
      <c r="H66" s="110" t="s">
        <v>48</v>
      </c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1:22" ht="18" customHeight="1" x14ac:dyDescent="0.25">
      <c r="A67" s="49" t="s">
        <v>52</v>
      </c>
      <c r="B67" s="97" t="s">
        <v>53</v>
      </c>
      <c r="C67" s="98" t="s">
        <v>108</v>
      </c>
      <c r="D67" s="99">
        <f>(0.995+D69+D70)/3</f>
        <v>0.9906666666666667</v>
      </c>
      <c r="E67" s="99">
        <f>(E68+E69+E70)/3</f>
        <v>1</v>
      </c>
      <c r="F67" s="99">
        <f>(F68+F69+F70)/3</f>
        <v>1</v>
      </c>
      <c r="G67" s="100">
        <f>D67*(0.5*E67+0.5*F67)</f>
        <v>0.9906666666666667</v>
      </c>
      <c r="H67" s="127" t="s">
        <v>49</v>
      </c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</row>
    <row r="68" spans="1:22" ht="18" customHeight="1" x14ac:dyDescent="0.25">
      <c r="A68" s="108"/>
      <c r="B68" s="121"/>
      <c r="C68" s="103">
        <v>2021</v>
      </c>
      <c r="D68" s="104" t="s">
        <v>132</v>
      </c>
      <c r="E68" s="104">
        <v>1</v>
      </c>
      <c r="F68" s="104">
        <v>1</v>
      </c>
      <c r="G68" s="105">
        <f>0.995*(0.5*E68+0.5*F68)</f>
        <v>0.995</v>
      </c>
      <c r="H68" s="106" t="s">
        <v>180</v>
      </c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1:22" ht="18" customHeight="1" x14ac:dyDescent="0.25">
      <c r="A69" s="108"/>
      <c r="B69" s="121"/>
      <c r="C69" s="103">
        <v>2022</v>
      </c>
      <c r="D69" s="104">
        <v>0.99099999999999999</v>
      </c>
      <c r="E69" s="104">
        <v>1</v>
      </c>
      <c r="F69" s="104">
        <v>1</v>
      </c>
      <c r="G69" s="105">
        <f>D69*(0.5*E69+0.5*F69)</f>
        <v>0.99099999999999999</v>
      </c>
      <c r="H69" s="110" t="s">
        <v>49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</row>
    <row r="70" spans="1:22" ht="18" customHeight="1" x14ac:dyDescent="0.25">
      <c r="A70" s="52"/>
      <c r="B70" s="102"/>
      <c r="C70" s="103">
        <v>2023</v>
      </c>
      <c r="D70" s="104">
        <v>0.98599999999999999</v>
      </c>
      <c r="E70" s="104">
        <v>1</v>
      </c>
      <c r="F70" s="104">
        <v>1</v>
      </c>
      <c r="G70" s="105">
        <f t="shared" ref="G70" si="6">D70*(0.5*E70+0.5*F70)</f>
        <v>0.98599999999999999</v>
      </c>
      <c r="H70" s="110" t="s">
        <v>49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1:22" ht="16.5" customHeight="1" x14ac:dyDescent="0.25">
      <c r="A71" s="49" t="s">
        <v>54</v>
      </c>
      <c r="B71" s="97" t="s">
        <v>153</v>
      </c>
      <c r="C71" s="98" t="s">
        <v>108</v>
      </c>
      <c r="D71" s="99">
        <f>(D72+D73+D74)/3</f>
        <v>0.7513333333333333</v>
      </c>
      <c r="E71" s="99">
        <f>(E72+E73+E74)/3</f>
        <v>0.83333333333333337</v>
      </c>
      <c r="F71" s="99">
        <f>(F72+F73+F74)/3</f>
        <v>1</v>
      </c>
      <c r="G71" s="100">
        <f>D71*(0.5*E71+0.5*F71)</f>
        <v>0.68872222222222224</v>
      </c>
      <c r="H71" s="128" t="s">
        <v>154</v>
      </c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</row>
    <row r="72" spans="1:22" ht="16.5" customHeight="1" x14ac:dyDescent="0.25">
      <c r="A72" s="108"/>
      <c r="B72" s="121"/>
      <c r="C72" s="103">
        <v>2021</v>
      </c>
      <c r="D72" s="104">
        <v>0.78</v>
      </c>
      <c r="E72" s="104">
        <v>1</v>
      </c>
      <c r="F72" s="104">
        <v>1</v>
      </c>
      <c r="G72" s="105">
        <f>D72*(0.5*E72+0.5*F72)</f>
        <v>0.78</v>
      </c>
      <c r="H72" s="110" t="s">
        <v>48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 ht="16.5" customHeight="1" x14ac:dyDescent="0.25">
      <c r="A73" s="108"/>
      <c r="B73" s="121"/>
      <c r="C73" s="103">
        <v>2022</v>
      </c>
      <c r="D73" s="104">
        <v>0.6</v>
      </c>
      <c r="E73" s="104">
        <v>0.5</v>
      </c>
      <c r="F73" s="104">
        <v>1</v>
      </c>
      <c r="G73" s="105">
        <f>D73*(0.5*E73+0.5*F73)</f>
        <v>0.44999999999999996</v>
      </c>
      <c r="H73" s="110" t="s">
        <v>50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</row>
    <row r="74" spans="1:22" ht="16.5" customHeight="1" x14ac:dyDescent="0.25">
      <c r="A74" s="52"/>
      <c r="B74" s="102"/>
      <c r="C74" s="103">
        <v>2023</v>
      </c>
      <c r="D74" s="104">
        <v>0.874</v>
      </c>
      <c r="E74" s="104">
        <v>1</v>
      </c>
      <c r="F74" s="104">
        <v>1</v>
      </c>
      <c r="G74" s="105">
        <f t="shared" ref="G74" si="7">D74*(0.5*E74+0.5*F74)</f>
        <v>0.874</v>
      </c>
      <c r="H74" s="110" t="s">
        <v>48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1:22" ht="18" hidden="1" customHeight="1" x14ac:dyDescent="0.25">
      <c r="A75" s="53" t="s">
        <v>19</v>
      </c>
      <c r="B75" s="54" t="e">
        <f>#REF!</f>
        <v>#REF!</v>
      </c>
      <c r="C75" s="55"/>
      <c r="D75" s="55"/>
      <c r="E75" s="56"/>
      <c r="F75" s="57" t="e">
        <f>#REF!</f>
        <v>#REF!</v>
      </c>
      <c r="G75" s="58" t="e">
        <f>0.8*G76+0.2*F75</f>
        <v>#REF!</v>
      </c>
      <c r="H75" s="59" t="s">
        <v>48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</row>
    <row r="76" spans="1:22" ht="18.75" hidden="1" customHeight="1" x14ac:dyDescent="0.25">
      <c r="A76" s="53" t="s">
        <v>31</v>
      </c>
      <c r="B76" s="60" t="e">
        <f>#REF!</f>
        <v>#REF!</v>
      </c>
      <c r="C76" s="60"/>
      <c r="D76" s="61" t="e">
        <f>#REF!</f>
        <v>#REF!</v>
      </c>
      <c r="E76" s="61" t="e">
        <f>#REF!</f>
        <v>#REF!</v>
      </c>
      <c r="F76" s="62" t="e">
        <f>#REF!</f>
        <v>#REF!</v>
      </c>
      <c r="G76" s="63" t="e">
        <f t="shared" si="4"/>
        <v>#REF!</v>
      </c>
      <c r="H76" s="53" t="s">
        <v>48</v>
      </c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</row>
    <row r="77" spans="1:22" s="48" customFormat="1" ht="18.75" customHeight="1" x14ac:dyDescent="0.25">
      <c r="A77" s="129" t="s">
        <v>19</v>
      </c>
      <c r="B77" s="123" t="s">
        <v>88</v>
      </c>
      <c r="C77" s="85" t="s">
        <v>108</v>
      </c>
      <c r="D77" s="86"/>
      <c r="E77" s="87"/>
      <c r="F77" s="88">
        <f>(F78+F79+F80)/3</f>
        <v>0.87866666666666671</v>
      </c>
      <c r="G77" s="89">
        <f>0.8*G81+0.2*F77</f>
        <v>0.72809111111111124</v>
      </c>
      <c r="H77" s="90" t="s">
        <v>48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</row>
    <row r="78" spans="1:22" s="48" customFormat="1" ht="18.75" customHeight="1" x14ac:dyDescent="0.25">
      <c r="A78" s="130"/>
      <c r="B78" s="131"/>
      <c r="C78" s="93">
        <v>2021</v>
      </c>
      <c r="D78" s="66"/>
      <c r="E78" s="67"/>
      <c r="F78" s="94">
        <v>0.95499999999999996</v>
      </c>
      <c r="G78" s="95">
        <f>0.8*G82+0.2*F78</f>
        <v>0.7799520000000002</v>
      </c>
      <c r="H78" s="126" t="s">
        <v>48</v>
      </c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</row>
    <row r="79" spans="1:22" s="48" customFormat="1" ht="18.75" customHeight="1" x14ac:dyDescent="0.25">
      <c r="A79" s="130"/>
      <c r="B79" s="131"/>
      <c r="C79" s="93">
        <v>2022</v>
      </c>
      <c r="D79" s="66"/>
      <c r="E79" s="67"/>
      <c r="F79" s="94">
        <v>0.82599999999999996</v>
      </c>
      <c r="G79" s="95">
        <f>0.8*G83+0.2*F79</f>
        <v>0.71002280000000006</v>
      </c>
      <c r="H79" s="126" t="s">
        <v>48</v>
      </c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</row>
    <row r="80" spans="1:22" s="48" customFormat="1" ht="18.75" customHeight="1" x14ac:dyDescent="0.25">
      <c r="A80" s="132"/>
      <c r="B80" s="133"/>
      <c r="C80" s="93">
        <v>2023</v>
      </c>
      <c r="D80" s="66"/>
      <c r="E80" s="67"/>
      <c r="F80" s="94">
        <v>0.85499999999999998</v>
      </c>
      <c r="G80" s="95">
        <f>0.8*G84+0.2*F80</f>
        <v>0.69192600000000004</v>
      </c>
      <c r="H80" s="126" t="s">
        <v>51</v>
      </c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</row>
    <row r="81" spans="1:22" ht="18.75" customHeight="1" x14ac:dyDescent="0.25">
      <c r="A81" s="134" t="s">
        <v>31</v>
      </c>
      <c r="B81" s="119" t="s">
        <v>89</v>
      </c>
      <c r="C81" s="98" t="s">
        <v>108</v>
      </c>
      <c r="D81" s="99">
        <f>(D82+D83+D84)/3</f>
        <v>0.82033333333333347</v>
      </c>
      <c r="E81" s="99">
        <f>(E82+E83+E84)/3</f>
        <v>0.75733333333333341</v>
      </c>
      <c r="F81" s="99">
        <f>(F82+F83+F84)/3</f>
        <v>0.92600000000000005</v>
      </c>
      <c r="G81" s="100">
        <f>D81*(0.5*E81+0.5*F81)</f>
        <v>0.69044722222222243</v>
      </c>
      <c r="H81" s="110" t="s">
        <v>51</v>
      </c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</row>
    <row r="82" spans="1:22" ht="18.75" customHeight="1" x14ac:dyDescent="0.25">
      <c r="A82" s="135"/>
      <c r="B82" s="102"/>
      <c r="C82" s="103">
        <v>2021</v>
      </c>
      <c r="D82" s="104">
        <v>0.80900000000000005</v>
      </c>
      <c r="E82" s="104">
        <v>0.91</v>
      </c>
      <c r="F82" s="104">
        <v>0.91</v>
      </c>
      <c r="G82" s="105">
        <f>D82*(0.5*E82+0.5*F82)</f>
        <v>0.73619000000000012</v>
      </c>
      <c r="H82" s="110" t="s">
        <v>48</v>
      </c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</row>
    <row r="83" spans="1:22" ht="18.75" customHeight="1" x14ac:dyDescent="0.25">
      <c r="A83" s="135"/>
      <c r="B83" s="102"/>
      <c r="C83" s="103">
        <v>2022</v>
      </c>
      <c r="D83" s="104">
        <v>0.86699999999999999</v>
      </c>
      <c r="E83" s="104">
        <v>0.65200000000000002</v>
      </c>
      <c r="F83" s="104">
        <v>0.91900000000000004</v>
      </c>
      <c r="G83" s="105">
        <f>D83*(0.5*E83+0.5*F83)</f>
        <v>0.68102850000000004</v>
      </c>
      <c r="H83" s="110" t="s">
        <v>51</v>
      </c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</row>
    <row r="84" spans="1:22" ht="18.75" customHeight="1" x14ac:dyDescent="0.25">
      <c r="A84" s="136"/>
      <c r="B84" s="137"/>
      <c r="C84" s="103">
        <v>2023</v>
      </c>
      <c r="D84" s="104">
        <v>0.78500000000000003</v>
      </c>
      <c r="E84" s="104">
        <v>0.71</v>
      </c>
      <c r="F84" s="104">
        <v>0.94899999999999995</v>
      </c>
      <c r="G84" s="105">
        <f>D84*(0.5*E84+0.5*F84)</f>
        <v>0.65115749999999994</v>
      </c>
      <c r="H84" s="110" t="s">
        <v>51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</row>
    <row r="85" spans="1:22" s="48" customFormat="1" ht="31.5" customHeight="1" x14ac:dyDescent="0.25">
      <c r="A85" s="68" t="s">
        <v>20</v>
      </c>
      <c r="B85" s="123" t="s">
        <v>59</v>
      </c>
      <c r="C85" s="85" t="s">
        <v>108</v>
      </c>
      <c r="D85" s="86"/>
      <c r="E85" s="87"/>
      <c r="F85" s="88">
        <f>(F86+F87+F88)/3</f>
        <v>0.30099999999999999</v>
      </c>
      <c r="G85" s="89">
        <f>0.8*(G89+G93)/2+0.2*F85</f>
        <v>0.63491808888888901</v>
      </c>
      <c r="H85" s="90" t="s">
        <v>51</v>
      </c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</row>
    <row r="86" spans="1:22" s="48" customFormat="1" ht="17.25" customHeight="1" x14ac:dyDescent="0.25">
      <c r="A86" s="69"/>
      <c r="B86" s="131"/>
      <c r="C86" s="93">
        <v>2021</v>
      </c>
      <c r="D86" s="138"/>
      <c r="E86" s="67"/>
      <c r="F86" s="94">
        <v>0.7</v>
      </c>
      <c r="G86" s="95">
        <f>0.8*(G90+G94)/2+0.2*F86</f>
        <v>0.77851860000000006</v>
      </c>
      <c r="H86" s="139" t="s">
        <v>48</v>
      </c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</row>
    <row r="87" spans="1:22" s="48" customFormat="1" ht="17.25" customHeight="1" x14ac:dyDescent="0.25">
      <c r="A87" s="69"/>
      <c r="B87" s="131"/>
      <c r="C87" s="93">
        <v>2022</v>
      </c>
      <c r="D87" s="138"/>
      <c r="E87" s="67"/>
      <c r="F87" s="94">
        <v>0.158</v>
      </c>
      <c r="G87" s="95">
        <f>0.8*(G91+G95)/2+0.2*F87</f>
        <v>0.59959399999999996</v>
      </c>
      <c r="H87" s="139" t="s">
        <v>51</v>
      </c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</row>
    <row r="88" spans="1:22" s="48" customFormat="1" ht="17.25" customHeight="1" x14ac:dyDescent="0.25">
      <c r="A88" s="69"/>
      <c r="B88" s="131"/>
      <c r="C88" s="93">
        <v>2023</v>
      </c>
      <c r="D88" s="138"/>
      <c r="E88" s="67"/>
      <c r="F88" s="94">
        <v>4.4999999999999998E-2</v>
      </c>
      <c r="G88" s="95">
        <f>0.8*(G92+G96)/2+0.2*F88</f>
        <v>0.52693920000000005</v>
      </c>
      <c r="H88" s="139" t="s">
        <v>51</v>
      </c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</row>
    <row r="89" spans="1:22" s="65" customFormat="1" ht="17.25" customHeight="1" x14ac:dyDescent="0.25">
      <c r="A89" s="49" t="s">
        <v>32</v>
      </c>
      <c r="B89" s="119" t="s">
        <v>155</v>
      </c>
      <c r="C89" s="98" t="s">
        <v>108</v>
      </c>
      <c r="D89" s="99">
        <f>(D90+D91+D92)/3</f>
        <v>0.71566666666666678</v>
      </c>
      <c r="E89" s="99">
        <f>(E90+E91+E92)/3</f>
        <v>0.71133333333333348</v>
      </c>
      <c r="F89" s="99">
        <f>(F90+F91+F92)/3</f>
        <v>0.5093333333333333</v>
      </c>
      <c r="G89" s="100">
        <f>D89*(0.5*E89+0.5*F89)</f>
        <v>0.43679522222222233</v>
      </c>
      <c r="H89" s="101" t="s">
        <v>50</v>
      </c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</row>
    <row r="90" spans="1:22" s="65" customFormat="1" ht="17.25" customHeight="1" x14ac:dyDescent="0.25">
      <c r="A90" s="52"/>
      <c r="B90" s="102"/>
      <c r="C90" s="103">
        <v>2021</v>
      </c>
      <c r="D90" s="104">
        <v>0.99299999999999999</v>
      </c>
      <c r="E90" s="104">
        <v>0.66700000000000004</v>
      </c>
      <c r="F90" s="104">
        <v>0.53400000000000003</v>
      </c>
      <c r="G90" s="105">
        <f>D90*(0.5*E90+0.5*F90)</f>
        <v>0.59629650000000001</v>
      </c>
      <c r="H90" s="106" t="s">
        <v>51</v>
      </c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</row>
    <row r="91" spans="1:22" s="65" customFormat="1" ht="17.25" customHeight="1" x14ac:dyDescent="0.25">
      <c r="A91" s="52"/>
      <c r="B91" s="102"/>
      <c r="C91" s="103">
        <v>2022</v>
      </c>
      <c r="D91" s="104">
        <v>0.61</v>
      </c>
      <c r="E91" s="104">
        <v>0.8</v>
      </c>
      <c r="F91" s="104">
        <v>0.57699999999999996</v>
      </c>
      <c r="G91" s="105">
        <f>D91*(0.5*E91+0.5*F91)</f>
        <v>0.419985</v>
      </c>
      <c r="H91" s="106" t="s">
        <v>50</v>
      </c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</row>
    <row r="92" spans="1:22" s="65" customFormat="1" ht="15.75" customHeight="1" x14ac:dyDescent="0.25">
      <c r="A92" s="52"/>
      <c r="B92" s="102"/>
      <c r="C92" s="103">
        <v>2023</v>
      </c>
      <c r="D92" s="104">
        <v>0.54400000000000004</v>
      </c>
      <c r="E92" s="104">
        <v>0.66700000000000004</v>
      </c>
      <c r="F92" s="104">
        <v>0.41699999999999998</v>
      </c>
      <c r="G92" s="105">
        <f>D92*(0.5*E92+0.5*F92)</f>
        <v>0.29484800000000005</v>
      </c>
      <c r="H92" s="106" t="s">
        <v>50</v>
      </c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ht="16.5" customHeight="1" x14ac:dyDescent="0.25">
      <c r="A93" s="49" t="s">
        <v>33</v>
      </c>
      <c r="B93" s="97" t="s">
        <v>156</v>
      </c>
      <c r="C93" s="98" t="s">
        <v>108</v>
      </c>
      <c r="D93" s="99">
        <f>(D94+D96+D95+1)/4</f>
        <v>1</v>
      </c>
      <c r="E93" s="99">
        <f>(E94+E95+E96)/3</f>
        <v>1</v>
      </c>
      <c r="F93" s="99">
        <f>(F94+F95+F96)/3</f>
        <v>1</v>
      </c>
      <c r="G93" s="100">
        <f>D93*(0.5*E93+0.5*F93)</f>
        <v>1</v>
      </c>
      <c r="H93" s="101" t="s">
        <v>49</v>
      </c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</row>
    <row r="94" spans="1:22" ht="16.5" customHeight="1" x14ac:dyDescent="0.25">
      <c r="A94" s="52"/>
      <c r="B94" s="102"/>
      <c r="C94" s="103">
        <v>2021</v>
      </c>
      <c r="D94" s="104">
        <v>1</v>
      </c>
      <c r="E94" s="104">
        <v>1</v>
      </c>
      <c r="F94" s="104">
        <v>1</v>
      </c>
      <c r="G94" s="105">
        <f t="shared" ref="G94:G96" si="8">D94*(0.5*E94+0.5*F94)</f>
        <v>1</v>
      </c>
      <c r="H94" s="106" t="s">
        <v>49</v>
      </c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</row>
    <row r="95" spans="1:22" ht="16.5" customHeight="1" x14ac:dyDescent="0.25">
      <c r="A95" s="52"/>
      <c r="B95" s="102"/>
      <c r="C95" s="103">
        <v>2022</v>
      </c>
      <c r="D95" s="104">
        <v>1</v>
      </c>
      <c r="E95" s="104">
        <v>1</v>
      </c>
      <c r="F95" s="104">
        <v>1</v>
      </c>
      <c r="G95" s="105">
        <f t="shared" si="8"/>
        <v>1</v>
      </c>
      <c r="H95" s="106" t="s">
        <v>49</v>
      </c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</row>
    <row r="96" spans="1:22" ht="16.5" customHeight="1" x14ac:dyDescent="0.25">
      <c r="A96" s="52"/>
      <c r="B96" s="102"/>
      <c r="C96" s="103">
        <v>2023</v>
      </c>
      <c r="D96" s="104">
        <v>1</v>
      </c>
      <c r="E96" s="104">
        <v>1</v>
      </c>
      <c r="F96" s="104">
        <v>1</v>
      </c>
      <c r="G96" s="105">
        <f t="shared" si="8"/>
        <v>1</v>
      </c>
      <c r="H96" s="110" t="s">
        <v>49</v>
      </c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</row>
    <row r="97" spans="1:22" s="48" customFormat="1" ht="17.25" customHeight="1" x14ac:dyDescent="0.25">
      <c r="A97" s="68" t="s">
        <v>21</v>
      </c>
      <c r="B97" s="123" t="s">
        <v>60</v>
      </c>
      <c r="C97" s="85" t="s">
        <v>108</v>
      </c>
      <c r="D97" s="86"/>
      <c r="E97" s="87"/>
      <c r="F97" s="88">
        <f>(F98+F99+F100)/3</f>
        <v>1</v>
      </c>
      <c r="G97" s="89">
        <f>0.8*(G101+G105+G109)/3+0.2*F97</f>
        <v>0.93530825185185185</v>
      </c>
      <c r="H97" s="90" t="s">
        <v>48</v>
      </c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</row>
    <row r="98" spans="1:22" s="48" customFormat="1" ht="17.25" customHeight="1" x14ac:dyDescent="0.25">
      <c r="A98" s="112"/>
      <c r="B98" s="131"/>
      <c r="C98" s="93">
        <v>2021</v>
      </c>
      <c r="D98" s="66"/>
      <c r="E98" s="67"/>
      <c r="F98" s="94">
        <v>1</v>
      </c>
      <c r="G98" s="95">
        <f>0.8*(G102+G106+G110)/3+0.2*F98</f>
        <v>0.89653959999999988</v>
      </c>
      <c r="H98" s="126" t="s">
        <v>48</v>
      </c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</row>
    <row r="99" spans="1:22" s="48" customFormat="1" ht="17.25" customHeight="1" x14ac:dyDescent="0.25">
      <c r="A99" s="112"/>
      <c r="B99" s="131"/>
      <c r="C99" s="93">
        <v>2022</v>
      </c>
      <c r="D99" s="66"/>
      <c r="E99" s="67"/>
      <c r="F99" s="94">
        <v>1</v>
      </c>
      <c r="G99" s="95">
        <f>0.8*(G103+G111)/2+0.2*F99</f>
        <v>0.91127259999999999</v>
      </c>
      <c r="H99" s="126" t="s">
        <v>48</v>
      </c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</row>
    <row r="100" spans="1:22" s="48" customFormat="1" ht="17.25" customHeight="1" x14ac:dyDescent="0.25">
      <c r="A100" s="112"/>
      <c r="B100" s="131"/>
      <c r="C100" s="93">
        <v>2023</v>
      </c>
      <c r="D100" s="66"/>
      <c r="E100" s="67"/>
      <c r="F100" s="94">
        <v>1</v>
      </c>
      <c r="G100" s="95">
        <f>0.8*(G104+G112)/2+0.2*F100</f>
        <v>0.9589319999999999</v>
      </c>
      <c r="H100" s="126" t="s">
        <v>49</v>
      </c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</row>
    <row r="101" spans="1:22" ht="17.25" customHeight="1" x14ac:dyDescent="0.25">
      <c r="A101" s="49" t="s">
        <v>34</v>
      </c>
      <c r="B101" s="97" t="s">
        <v>159</v>
      </c>
      <c r="C101" s="98" t="s">
        <v>108</v>
      </c>
      <c r="D101" s="99">
        <f>(0.959+0.997+0.985)/3</f>
        <v>0.98033333333333328</v>
      </c>
      <c r="E101" s="99">
        <f>(E102+E103+E104)/3</f>
        <v>0.96699999999999997</v>
      </c>
      <c r="F101" s="99">
        <f>(F102+F103+F104)/3</f>
        <v>0.99533333333333329</v>
      </c>
      <c r="G101" s="100">
        <f>D101*(0.5*E101+0.5*F101)</f>
        <v>0.96187038888888876</v>
      </c>
      <c r="H101" s="101" t="s">
        <v>181</v>
      </c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</row>
    <row r="102" spans="1:22" ht="17.25" customHeight="1" x14ac:dyDescent="0.25">
      <c r="A102" s="52"/>
      <c r="B102" s="102"/>
      <c r="C102" s="103">
        <v>2021</v>
      </c>
      <c r="D102" s="104" t="s">
        <v>133</v>
      </c>
      <c r="E102" s="104">
        <v>0.94099999999999995</v>
      </c>
      <c r="F102" s="104">
        <v>1</v>
      </c>
      <c r="G102" s="105">
        <f>0.959*(0.5*E102+0.5*F102)</f>
        <v>0.93070949999999986</v>
      </c>
      <c r="H102" s="106" t="s">
        <v>182</v>
      </c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</row>
    <row r="103" spans="1:22" ht="17.25" customHeight="1" x14ac:dyDescent="0.25">
      <c r="A103" s="52"/>
      <c r="B103" s="102"/>
      <c r="C103" s="103">
        <v>2022</v>
      </c>
      <c r="D103" s="104" t="s">
        <v>110</v>
      </c>
      <c r="E103" s="104">
        <v>1</v>
      </c>
      <c r="F103" s="104">
        <v>1</v>
      </c>
      <c r="G103" s="105">
        <f>0.997*(0.5*E103+0.5*F103)</f>
        <v>0.997</v>
      </c>
      <c r="H103" s="106" t="s">
        <v>180</v>
      </c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</row>
    <row r="104" spans="1:22" ht="17.25" customHeight="1" x14ac:dyDescent="0.25">
      <c r="A104" s="52"/>
      <c r="B104" s="102"/>
      <c r="C104" s="103">
        <v>2023</v>
      </c>
      <c r="D104" s="104" t="s">
        <v>157</v>
      </c>
      <c r="E104" s="104">
        <v>0.96</v>
      </c>
      <c r="F104" s="104">
        <v>0.98599999999999999</v>
      </c>
      <c r="G104" s="105">
        <f>0.985*(0.5*E104+0.5*F104)</f>
        <v>0.95840499999999995</v>
      </c>
      <c r="H104" s="106" t="s">
        <v>180</v>
      </c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</row>
    <row r="105" spans="1:22" ht="18.75" customHeight="1" x14ac:dyDescent="0.25">
      <c r="A105" s="49" t="s">
        <v>35</v>
      </c>
      <c r="B105" s="97" t="s">
        <v>160</v>
      </c>
      <c r="C105" s="98" t="s">
        <v>108</v>
      </c>
      <c r="D105" s="99">
        <f>D106</f>
        <v>0.996</v>
      </c>
      <c r="E105" s="99">
        <f t="shared" ref="E105:F105" si="9">E106</f>
        <v>1</v>
      </c>
      <c r="F105" s="99">
        <f t="shared" si="9"/>
        <v>1</v>
      </c>
      <c r="G105" s="100">
        <f>D105*(0.5*E105+0.5*F105)</f>
        <v>0.996</v>
      </c>
      <c r="H105" s="101" t="s">
        <v>49</v>
      </c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</row>
    <row r="106" spans="1:22" ht="18.75" customHeight="1" x14ac:dyDescent="0.25">
      <c r="A106" s="52"/>
      <c r="B106" s="102"/>
      <c r="C106" s="103">
        <v>2021</v>
      </c>
      <c r="D106" s="104">
        <v>0.996</v>
      </c>
      <c r="E106" s="104">
        <v>1</v>
      </c>
      <c r="F106" s="104">
        <v>1</v>
      </c>
      <c r="G106" s="105">
        <f t="shared" ref="G106" si="10">D106*(0.5*E106+0.5*F106)</f>
        <v>0.996</v>
      </c>
      <c r="H106" s="106" t="s">
        <v>49</v>
      </c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</row>
    <row r="107" spans="1:22" ht="18" customHeight="1" x14ac:dyDescent="0.25">
      <c r="A107" s="52"/>
      <c r="B107" s="102"/>
      <c r="C107" s="103">
        <v>2022</v>
      </c>
      <c r="D107" s="140" t="s">
        <v>158</v>
      </c>
      <c r="E107" s="141"/>
      <c r="F107" s="141"/>
      <c r="G107" s="141"/>
      <c r="H107" s="142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</row>
    <row r="108" spans="1:22" ht="18.75" customHeight="1" x14ac:dyDescent="0.25">
      <c r="A108" s="52"/>
      <c r="B108" s="102"/>
      <c r="C108" s="103">
        <v>2023</v>
      </c>
      <c r="D108" s="143"/>
      <c r="E108" s="144"/>
      <c r="F108" s="144"/>
      <c r="G108" s="144"/>
      <c r="H108" s="145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</row>
    <row r="109" spans="1:22" ht="16.5" customHeight="1" x14ac:dyDescent="0.25">
      <c r="A109" s="49" t="s">
        <v>36</v>
      </c>
      <c r="B109" s="97" t="s">
        <v>161</v>
      </c>
      <c r="C109" s="98" t="s">
        <v>108</v>
      </c>
      <c r="D109" s="99">
        <f>(0.756+0.821+0.963)/3</f>
        <v>0.84666666666666668</v>
      </c>
      <c r="E109" s="99">
        <f>(E110+E111+E112)/3</f>
        <v>0.93266666666666664</v>
      </c>
      <c r="F109" s="99">
        <f>(F110+F111+F112)/3</f>
        <v>0.95599999999999996</v>
      </c>
      <c r="G109" s="100">
        <f>D109*(0.5*E109+0.5*F109)</f>
        <v>0.79953555555555544</v>
      </c>
      <c r="H109" s="101" t="s">
        <v>48</v>
      </c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</row>
    <row r="110" spans="1:22" ht="16.5" customHeight="1" x14ac:dyDescent="0.25">
      <c r="A110" s="52"/>
      <c r="B110" s="102"/>
      <c r="C110" s="103">
        <v>2021</v>
      </c>
      <c r="D110" s="104" t="s">
        <v>134</v>
      </c>
      <c r="E110" s="104">
        <v>0.85699999999999998</v>
      </c>
      <c r="F110" s="104">
        <v>0.95599999999999996</v>
      </c>
      <c r="G110" s="105">
        <f>0.756*(0.5*E110+0.5*F110)</f>
        <v>0.68531399999999998</v>
      </c>
      <c r="H110" s="106" t="s">
        <v>183</v>
      </c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</row>
    <row r="111" spans="1:22" ht="16.5" customHeight="1" x14ac:dyDescent="0.25">
      <c r="A111" s="52"/>
      <c r="B111" s="102"/>
      <c r="C111" s="103">
        <v>2022</v>
      </c>
      <c r="D111" s="104" t="s">
        <v>111</v>
      </c>
      <c r="E111" s="104">
        <v>0.94099999999999995</v>
      </c>
      <c r="F111" s="104">
        <v>0.96199999999999997</v>
      </c>
      <c r="G111" s="105">
        <f>0.821*(0.5*E111+0.5*F111)</f>
        <v>0.78118149999999997</v>
      </c>
      <c r="H111" s="106" t="s">
        <v>182</v>
      </c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</row>
    <row r="112" spans="1:22" ht="16.5" customHeight="1" x14ac:dyDescent="0.25">
      <c r="A112" s="52"/>
      <c r="B112" s="102"/>
      <c r="C112" s="103">
        <v>2023</v>
      </c>
      <c r="D112" s="104" t="s">
        <v>162</v>
      </c>
      <c r="E112" s="104">
        <v>1</v>
      </c>
      <c r="F112" s="104">
        <v>0.95</v>
      </c>
      <c r="G112" s="105">
        <f>0.963*(0.5*E112+0.5*F112)</f>
        <v>0.9389249999999999</v>
      </c>
      <c r="H112" s="106" t="s">
        <v>182</v>
      </c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</row>
    <row r="113" spans="1:22" s="48" customFormat="1" ht="16.5" customHeight="1" x14ac:dyDescent="0.25">
      <c r="A113" s="68" t="s">
        <v>22</v>
      </c>
      <c r="B113" s="123" t="s">
        <v>61</v>
      </c>
      <c r="C113" s="85" t="s">
        <v>108</v>
      </c>
      <c r="D113" s="86"/>
      <c r="E113" s="87"/>
      <c r="F113" s="88">
        <f>(F114+F115+F116)/3</f>
        <v>0.95866666666666678</v>
      </c>
      <c r="G113" s="89">
        <f>0.8*(G117+G121+G125)/3+0.2*F113</f>
        <v>0.86196548148148167</v>
      </c>
      <c r="H113" s="90" t="s">
        <v>48</v>
      </c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</row>
    <row r="114" spans="1:22" s="48" customFormat="1" ht="16.5" customHeight="1" x14ac:dyDescent="0.25">
      <c r="A114" s="112"/>
      <c r="B114" s="131"/>
      <c r="C114" s="93">
        <v>2021</v>
      </c>
      <c r="D114" s="66"/>
      <c r="E114" s="67"/>
      <c r="F114" s="94">
        <v>0.98</v>
      </c>
      <c r="G114" s="95">
        <f>0.8*(G118+G122+G126)/3+0.2*F114</f>
        <v>0.85063533333333341</v>
      </c>
      <c r="H114" s="126" t="s">
        <v>48</v>
      </c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</row>
    <row r="115" spans="1:22" s="48" customFormat="1" ht="16.5" customHeight="1" x14ac:dyDescent="0.25">
      <c r="A115" s="112"/>
      <c r="B115" s="131"/>
      <c r="C115" s="93">
        <v>2022</v>
      </c>
      <c r="D115" s="66"/>
      <c r="E115" s="67"/>
      <c r="F115" s="94">
        <v>0.96299999999999997</v>
      </c>
      <c r="G115" s="95">
        <f>0.8*(G119+G123+G127)/3+0.2*F115</f>
        <v>0.85684480000000007</v>
      </c>
      <c r="H115" s="126" t="s">
        <v>48</v>
      </c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</row>
    <row r="116" spans="1:22" s="48" customFormat="1" ht="16.5" customHeight="1" x14ac:dyDescent="0.25">
      <c r="A116" s="112"/>
      <c r="B116" s="131"/>
      <c r="C116" s="93">
        <v>2023</v>
      </c>
      <c r="D116" s="66"/>
      <c r="E116" s="67"/>
      <c r="F116" s="94">
        <v>0.93300000000000005</v>
      </c>
      <c r="G116" s="95">
        <f>0.8*(G120+G124+G128)/3+0.2*F116</f>
        <v>0.885772</v>
      </c>
      <c r="H116" s="126" t="s">
        <v>48</v>
      </c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</row>
    <row r="117" spans="1:22" ht="18" customHeight="1" x14ac:dyDescent="0.25">
      <c r="A117" s="49" t="s">
        <v>37</v>
      </c>
      <c r="B117" s="97" t="s">
        <v>163</v>
      </c>
      <c r="C117" s="98" t="s">
        <v>108</v>
      </c>
      <c r="D117" s="99">
        <f>(0.957+0.878+0.878)/3</f>
        <v>0.90433333333333332</v>
      </c>
      <c r="E117" s="99">
        <f>(E118+E119+E120)/3</f>
        <v>0.83933333333333326</v>
      </c>
      <c r="F117" s="99">
        <f>(F118+F119+F120)/3</f>
        <v>0.97333333333333327</v>
      </c>
      <c r="G117" s="100">
        <f>0.9*(0.5*E117+0.5*F117)</f>
        <v>0.81569999999999987</v>
      </c>
      <c r="H117" s="101" t="s">
        <v>48</v>
      </c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</row>
    <row r="118" spans="1:22" ht="18" customHeight="1" x14ac:dyDescent="0.25">
      <c r="A118" s="108"/>
      <c r="B118" s="121"/>
      <c r="C118" s="103">
        <v>2021</v>
      </c>
      <c r="D118" s="104" t="s">
        <v>135</v>
      </c>
      <c r="E118" s="104">
        <v>0.86699999999999999</v>
      </c>
      <c r="F118" s="104">
        <v>0.97799999999999998</v>
      </c>
      <c r="G118" s="105">
        <f>0.957*(0.5*E118+0.5*F118)</f>
        <v>0.88283249999999991</v>
      </c>
      <c r="H118" s="106" t="s">
        <v>182</v>
      </c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</row>
    <row r="119" spans="1:22" ht="18" customHeight="1" x14ac:dyDescent="0.25">
      <c r="A119" s="108"/>
      <c r="B119" s="121"/>
      <c r="C119" s="103">
        <v>2022</v>
      </c>
      <c r="D119" s="104" t="s">
        <v>112</v>
      </c>
      <c r="E119" s="104">
        <v>0.81799999999999995</v>
      </c>
      <c r="F119" s="104">
        <v>0.97</v>
      </c>
      <c r="G119" s="105">
        <f>0.878*(0.5*E119+0.5*F119)</f>
        <v>0.78493199999999996</v>
      </c>
      <c r="H119" s="106" t="s">
        <v>182</v>
      </c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</row>
    <row r="120" spans="1:22" ht="18" customHeight="1" x14ac:dyDescent="0.25">
      <c r="A120" s="108"/>
      <c r="B120" s="121"/>
      <c r="C120" s="103">
        <v>2023</v>
      </c>
      <c r="D120" s="104" t="s">
        <v>166</v>
      </c>
      <c r="E120" s="104">
        <v>0.83299999999999996</v>
      </c>
      <c r="F120" s="104">
        <v>0.97199999999999998</v>
      </c>
      <c r="G120" s="105">
        <f>0.878*(0.5*E120+0.5*F120)</f>
        <v>0.79239499999999996</v>
      </c>
      <c r="H120" s="106" t="s">
        <v>182</v>
      </c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</row>
    <row r="121" spans="1:22" ht="18" customHeight="1" x14ac:dyDescent="0.25">
      <c r="A121" s="49" t="s">
        <v>90</v>
      </c>
      <c r="B121" s="97" t="s">
        <v>164</v>
      </c>
      <c r="C121" s="98" t="s">
        <v>108</v>
      </c>
      <c r="D121" s="99">
        <f>(0.915+0.9+0.988)/3</f>
        <v>0.93433333333333335</v>
      </c>
      <c r="E121" s="99">
        <f>(E122+E123+E124)/3</f>
        <v>1</v>
      </c>
      <c r="F121" s="99">
        <f>(F122+F123+F124)/3</f>
        <v>0.83333333333333337</v>
      </c>
      <c r="G121" s="100">
        <f>D121*(0.5*E121+0.5*F121)</f>
        <v>0.8564722222222223</v>
      </c>
      <c r="H121" s="101" t="s">
        <v>48</v>
      </c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</row>
    <row r="122" spans="1:22" ht="18" customHeight="1" x14ac:dyDescent="0.25">
      <c r="A122" s="52"/>
      <c r="B122" s="102"/>
      <c r="C122" s="103">
        <v>2021</v>
      </c>
      <c r="D122" s="104" t="s">
        <v>136</v>
      </c>
      <c r="E122" s="104">
        <v>1</v>
      </c>
      <c r="F122" s="104">
        <v>1</v>
      </c>
      <c r="G122" s="105">
        <f>0.915*(0.5*E122+0.5*F122)</f>
        <v>0.91500000000000004</v>
      </c>
      <c r="H122" s="106" t="s">
        <v>182</v>
      </c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</row>
    <row r="123" spans="1:22" ht="18" customHeight="1" x14ac:dyDescent="0.25">
      <c r="A123" s="52"/>
      <c r="B123" s="102"/>
      <c r="C123" s="103">
        <v>2022</v>
      </c>
      <c r="D123" s="104" t="s">
        <v>113</v>
      </c>
      <c r="E123" s="104">
        <v>1</v>
      </c>
      <c r="F123" s="104">
        <v>0.75</v>
      </c>
      <c r="G123" s="105">
        <f>0.9*(0.5*E123+0.5*F123)</f>
        <v>0.78749999999999998</v>
      </c>
      <c r="H123" s="106" t="s">
        <v>182</v>
      </c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</row>
    <row r="124" spans="1:22" ht="18" customHeight="1" x14ac:dyDescent="0.25">
      <c r="A124" s="52"/>
      <c r="B124" s="102"/>
      <c r="C124" s="103">
        <v>2023</v>
      </c>
      <c r="D124" s="104" t="s">
        <v>167</v>
      </c>
      <c r="E124" s="104">
        <v>1</v>
      </c>
      <c r="F124" s="104">
        <v>0.75</v>
      </c>
      <c r="G124" s="105">
        <f>0.988*(0.5*E124+0.5*F124)</f>
        <v>0.86450000000000005</v>
      </c>
      <c r="H124" s="106" t="s">
        <v>182</v>
      </c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1:22" ht="17.25" customHeight="1" x14ac:dyDescent="0.25">
      <c r="A125" s="49" t="s">
        <v>91</v>
      </c>
      <c r="B125" s="97" t="s">
        <v>165</v>
      </c>
      <c r="C125" s="98" t="s">
        <v>108</v>
      </c>
      <c r="D125" s="99">
        <f>(D126+D127+0.965)/3</f>
        <v>0.89</v>
      </c>
      <c r="E125" s="99">
        <f>(E126+E127+E128)/3</f>
        <v>0.91666666666666663</v>
      </c>
      <c r="F125" s="99">
        <f>(F126+F127+F128)/3</f>
        <v>0.97366666666666657</v>
      </c>
      <c r="G125" s="100">
        <f>D125*(0.5*E125+0.5*F125)</f>
        <v>0.84119833333333327</v>
      </c>
      <c r="H125" s="101" t="s">
        <v>48</v>
      </c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</row>
    <row r="126" spans="1:22" ht="17.25" customHeight="1" x14ac:dyDescent="0.25">
      <c r="A126" s="52"/>
      <c r="B126" s="102"/>
      <c r="C126" s="103">
        <v>2021</v>
      </c>
      <c r="D126" s="104">
        <v>0.77300000000000002</v>
      </c>
      <c r="E126" s="104">
        <v>0.75</v>
      </c>
      <c r="F126" s="104">
        <v>0.95</v>
      </c>
      <c r="G126" s="105">
        <f t="shared" ref="G126" si="11">D126*(0.5*E126+0.5*F126)</f>
        <v>0.65705000000000002</v>
      </c>
      <c r="H126" s="106" t="s">
        <v>51</v>
      </c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1:22" ht="17.25" customHeight="1" x14ac:dyDescent="0.25">
      <c r="A127" s="52"/>
      <c r="B127" s="102"/>
      <c r="C127" s="103">
        <v>2022</v>
      </c>
      <c r="D127" s="104">
        <v>0.93200000000000005</v>
      </c>
      <c r="E127" s="104">
        <v>1</v>
      </c>
      <c r="F127" s="104">
        <v>0.97099999999999997</v>
      </c>
      <c r="G127" s="105">
        <f>D127*(0.5*E127+0.5*F127)</f>
        <v>0.91848600000000014</v>
      </c>
      <c r="H127" s="106" t="s">
        <v>48</v>
      </c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</row>
    <row r="128" spans="1:22" ht="17.25" customHeight="1" x14ac:dyDescent="0.25">
      <c r="A128" s="52"/>
      <c r="B128" s="102"/>
      <c r="C128" s="103">
        <v>2023</v>
      </c>
      <c r="D128" s="104" t="s">
        <v>168</v>
      </c>
      <c r="E128" s="104">
        <v>1</v>
      </c>
      <c r="F128" s="104">
        <v>1</v>
      </c>
      <c r="G128" s="105">
        <f>0.965*(0.5*E128+0.5*F128)</f>
        <v>0.96499999999999997</v>
      </c>
      <c r="H128" s="106" t="s">
        <v>180</v>
      </c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</row>
    <row r="129" spans="1:22" s="48" customFormat="1" ht="19.5" customHeight="1" x14ac:dyDescent="0.25">
      <c r="A129" s="68" t="s">
        <v>23</v>
      </c>
      <c r="B129" s="84" t="s">
        <v>62</v>
      </c>
      <c r="C129" s="85" t="s">
        <v>108</v>
      </c>
      <c r="D129" s="86"/>
      <c r="E129" s="87"/>
      <c r="F129" s="88">
        <f>(F130+F131+F132)/3</f>
        <v>0.66666666666666663</v>
      </c>
      <c r="G129" s="89">
        <f>0.8*G133+0.2*F129</f>
        <v>0.89893333333333336</v>
      </c>
      <c r="H129" s="90" t="s">
        <v>48</v>
      </c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</row>
    <row r="130" spans="1:22" s="48" customFormat="1" ht="19.5" customHeight="1" x14ac:dyDescent="0.25">
      <c r="A130" s="112"/>
      <c r="B130" s="118"/>
      <c r="C130" s="93">
        <v>2021</v>
      </c>
      <c r="D130" s="66"/>
      <c r="E130" s="67"/>
      <c r="F130" s="94">
        <v>0</v>
      </c>
      <c r="G130" s="95">
        <f>0.8*G134+0.2*F130</f>
        <v>0.7592000000000001</v>
      </c>
      <c r="H130" s="126" t="s">
        <v>48</v>
      </c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</row>
    <row r="131" spans="1:22" s="48" customFormat="1" ht="19.5" customHeight="1" x14ac:dyDescent="0.25">
      <c r="A131" s="112"/>
      <c r="B131" s="118"/>
      <c r="C131" s="93">
        <v>2022</v>
      </c>
      <c r="D131" s="66"/>
      <c r="E131" s="67"/>
      <c r="F131" s="94">
        <v>1</v>
      </c>
      <c r="G131" s="95">
        <f>0.8*G135+0.2*F131</f>
        <v>0.96960000000000002</v>
      </c>
      <c r="H131" s="126" t="s">
        <v>49</v>
      </c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</row>
    <row r="132" spans="1:22" s="48" customFormat="1" ht="18" customHeight="1" x14ac:dyDescent="0.25">
      <c r="A132" s="112"/>
      <c r="B132" s="118"/>
      <c r="C132" s="93">
        <v>2023</v>
      </c>
      <c r="D132" s="66"/>
      <c r="E132" s="67"/>
      <c r="F132" s="94">
        <v>1</v>
      </c>
      <c r="G132" s="95">
        <f>0.8*G136+0.2*F132</f>
        <v>0.96799999999999997</v>
      </c>
      <c r="H132" s="126" t="s">
        <v>49</v>
      </c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</row>
    <row r="133" spans="1:22" ht="18" customHeight="1" x14ac:dyDescent="0.25">
      <c r="A133" s="49" t="s">
        <v>38</v>
      </c>
      <c r="B133" s="97" t="s">
        <v>63</v>
      </c>
      <c r="C133" s="98" t="s">
        <v>108</v>
      </c>
      <c r="D133" s="99">
        <f>(D134+D135+D136)/3</f>
        <v>1</v>
      </c>
      <c r="E133" s="99">
        <f>(E134+E135+E136)/3</f>
        <v>1</v>
      </c>
      <c r="F133" s="99">
        <f>(F134+F135+F136)/3</f>
        <v>0.91400000000000003</v>
      </c>
      <c r="G133" s="100">
        <f>D133*(0.5*E133+0.5*F133)</f>
        <v>0.95700000000000007</v>
      </c>
      <c r="H133" s="101" t="s">
        <v>49</v>
      </c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</row>
    <row r="134" spans="1:22" ht="18" customHeight="1" x14ac:dyDescent="0.25">
      <c r="A134" s="108"/>
      <c r="B134" s="121"/>
      <c r="C134" s="103">
        <v>2021</v>
      </c>
      <c r="D134" s="104">
        <v>1</v>
      </c>
      <c r="E134" s="104">
        <v>1</v>
      </c>
      <c r="F134" s="104">
        <v>0.89800000000000002</v>
      </c>
      <c r="G134" s="105">
        <f>D134*(0.5*E134+0.5*F134)</f>
        <v>0.94900000000000007</v>
      </c>
      <c r="H134" s="106" t="s">
        <v>49</v>
      </c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ht="18" customHeight="1" x14ac:dyDescent="0.25">
      <c r="A135" s="108"/>
      <c r="B135" s="121"/>
      <c r="C135" s="103">
        <v>2022</v>
      </c>
      <c r="D135" s="104">
        <v>1</v>
      </c>
      <c r="E135" s="104">
        <v>1</v>
      </c>
      <c r="F135" s="104">
        <v>0.92400000000000004</v>
      </c>
      <c r="G135" s="105">
        <f>D135*(0.5*E135+0.5*F135)</f>
        <v>0.96199999999999997</v>
      </c>
      <c r="H135" s="106" t="s">
        <v>49</v>
      </c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</row>
    <row r="136" spans="1:22" ht="18" customHeight="1" x14ac:dyDescent="0.25">
      <c r="A136" s="108"/>
      <c r="B136" s="121"/>
      <c r="C136" s="103">
        <v>2023</v>
      </c>
      <c r="D136" s="104">
        <v>1</v>
      </c>
      <c r="E136" s="104">
        <v>1</v>
      </c>
      <c r="F136" s="104">
        <v>0.92</v>
      </c>
      <c r="G136" s="105">
        <f>D136*(0.5*E136+0.5*F136)</f>
        <v>0.96</v>
      </c>
      <c r="H136" s="106" t="s">
        <v>49</v>
      </c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s="48" customFormat="1" ht="19.5" customHeight="1" x14ac:dyDescent="0.25">
      <c r="A137" s="68">
        <v>10</v>
      </c>
      <c r="B137" s="84" t="s">
        <v>64</v>
      </c>
      <c r="C137" s="85" t="s">
        <v>108</v>
      </c>
      <c r="D137" s="86"/>
      <c r="E137" s="87"/>
      <c r="F137" s="88">
        <f>(F138+F139+F140)/3</f>
        <v>0.97133333333333327</v>
      </c>
      <c r="G137" s="89">
        <f>0.8*(G141+G145)/2+0.2*F137</f>
        <v>0.75663953333333334</v>
      </c>
      <c r="H137" s="90" t="s">
        <v>48</v>
      </c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</row>
    <row r="138" spans="1:22" s="48" customFormat="1" ht="19.5" customHeight="1" x14ac:dyDescent="0.25">
      <c r="A138" s="69"/>
      <c r="B138" s="118"/>
      <c r="C138" s="93">
        <v>2021</v>
      </c>
      <c r="D138" s="66"/>
      <c r="E138" s="67"/>
      <c r="F138" s="94">
        <v>0.95699999999999996</v>
      </c>
      <c r="G138" s="95">
        <f>0.8*(G142+G146)/2+0.2*F138</f>
        <v>0.8062648</v>
      </c>
      <c r="H138" s="126" t="s">
        <v>48</v>
      </c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</row>
    <row r="139" spans="1:22" s="48" customFormat="1" ht="19.5" customHeight="1" x14ac:dyDescent="0.25">
      <c r="A139" s="69"/>
      <c r="B139" s="118"/>
      <c r="C139" s="93">
        <v>2022</v>
      </c>
      <c r="D139" s="66"/>
      <c r="E139" s="67"/>
      <c r="F139" s="94">
        <v>0.95699999999999996</v>
      </c>
      <c r="G139" s="95">
        <f>0.8*(G143+G147)/2+0.2*F139</f>
        <v>0.82740000000000014</v>
      </c>
      <c r="H139" s="126" t="s">
        <v>48</v>
      </c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</row>
    <row r="140" spans="1:22" s="48" customFormat="1" ht="19.5" customHeight="1" x14ac:dyDescent="0.25">
      <c r="A140" s="69"/>
      <c r="B140" s="118"/>
      <c r="C140" s="93">
        <v>2023</v>
      </c>
      <c r="D140" s="66"/>
      <c r="E140" s="67"/>
      <c r="F140" s="94">
        <v>1</v>
      </c>
      <c r="G140" s="95">
        <v>0.2</v>
      </c>
      <c r="H140" s="126" t="s">
        <v>171</v>
      </c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</row>
    <row r="141" spans="1:22" ht="18.75" customHeight="1" x14ac:dyDescent="0.25">
      <c r="A141" s="146" t="s">
        <v>39</v>
      </c>
      <c r="B141" s="107" t="s">
        <v>114</v>
      </c>
      <c r="C141" s="98" t="s">
        <v>108</v>
      </c>
      <c r="D141" s="114" t="s">
        <v>43</v>
      </c>
      <c r="E141" s="114">
        <f>(E142+E143+E144)/3</f>
        <v>0.70000000000000007</v>
      </c>
      <c r="F141" s="114">
        <f>(F142+F143+F144)/3</f>
        <v>0.84466666666666657</v>
      </c>
      <c r="G141" s="100">
        <f>0.65*(0.5*E141+0.5*F141)</f>
        <v>0.50201666666666667</v>
      </c>
      <c r="H141" s="127" t="s">
        <v>154</v>
      </c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1:22" ht="18.75" customHeight="1" x14ac:dyDescent="0.25">
      <c r="A142" s="147"/>
      <c r="B142" s="109"/>
      <c r="C142" s="103">
        <v>2021</v>
      </c>
      <c r="D142" s="104" t="s">
        <v>43</v>
      </c>
      <c r="E142" s="104">
        <v>0.6</v>
      </c>
      <c r="F142" s="104">
        <v>0.85399999999999998</v>
      </c>
      <c r="G142" s="105">
        <f>1*(0.5*E142+0.5*F142)</f>
        <v>0.72699999999999998</v>
      </c>
      <c r="H142" s="110" t="s">
        <v>48</v>
      </c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ht="18.75" customHeight="1" x14ac:dyDescent="0.25">
      <c r="A143" s="147"/>
      <c r="B143" s="109"/>
      <c r="C143" s="103">
        <v>2022</v>
      </c>
      <c r="D143" s="104">
        <v>0</v>
      </c>
      <c r="E143" s="104">
        <v>0.5</v>
      </c>
      <c r="F143" s="104">
        <v>0.68</v>
      </c>
      <c r="G143" s="105">
        <f>1*(0.5*E143+0.5*F143)</f>
        <v>0.59000000000000008</v>
      </c>
      <c r="H143" s="110" t="s">
        <v>51</v>
      </c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</row>
    <row r="144" spans="1:22" ht="18.75" customHeight="1" x14ac:dyDescent="0.25">
      <c r="A144" s="147"/>
      <c r="B144" s="109"/>
      <c r="C144" s="103">
        <v>2023</v>
      </c>
      <c r="D144" s="104">
        <v>0</v>
      </c>
      <c r="E144" s="104">
        <v>1</v>
      </c>
      <c r="F144" s="104">
        <v>1</v>
      </c>
      <c r="G144" s="105">
        <f>D144*(0.5*E144+0.5*F144)</f>
        <v>0</v>
      </c>
      <c r="H144" s="110" t="s">
        <v>171</v>
      </c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</row>
    <row r="145" spans="1:22" ht="18.75" customHeight="1" x14ac:dyDescent="0.25">
      <c r="A145" s="49" t="s">
        <v>92</v>
      </c>
      <c r="B145" s="97" t="s">
        <v>42</v>
      </c>
      <c r="C145" s="98" t="s">
        <v>108</v>
      </c>
      <c r="D145" s="99">
        <f>(D146+D147)/2</f>
        <v>0.98599999999999999</v>
      </c>
      <c r="E145" s="99">
        <f>(E146+E147)/2</f>
        <v>0.83350000000000002</v>
      </c>
      <c r="F145" s="99">
        <f>(F146+F147)/2</f>
        <v>1</v>
      </c>
      <c r="G145" s="100">
        <f>D145*(0.5*E145+0.5*1)</f>
        <v>0.90391549999999998</v>
      </c>
      <c r="H145" s="127" t="s">
        <v>48</v>
      </c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</row>
    <row r="146" spans="1:22" ht="15.75" customHeight="1" x14ac:dyDescent="0.25">
      <c r="A146" s="52"/>
      <c r="B146" s="111"/>
      <c r="C146" s="103">
        <v>2021</v>
      </c>
      <c r="D146" s="104">
        <v>0.97199999999999998</v>
      </c>
      <c r="E146" s="104">
        <v>0.66700000000000004</v>
      </c>
      <c r="F146" s="104">
        <v>1</v>
      </c>
      <c r="G146" s="105">
        <f>D146*(0.5*E146+0.5*F146)</f>
        <v>0.81016200000000005</v>
      </c>
      <c r="H146" s="110" t="s">
        <v>48</v>
      </c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</row>
    <row r="147" spans="1:22" ht="16.5" customHeight="1" x14ac:dyDescent="0.25">
      <c r="A147" s="52"/>
      <c r="B147" s="111"/>
      <c r="C147" s="103">
        <v>2022</v>
      </c>
      <c r="D147" s="104">
        <v>1</v>
      </c>
      <c r="E147" s="104">
        <v>1</v>
      </c>
      <c r="F147" s="104">
        <v>1</v>
      </c>
      <c r="G147" s="105">
        <f>D147*(0.5*E147+0.5*F147)</f>
        <v>1</v>
      </c>
      <c r="H147" s="110" t="s">
        <v>49</v>
      </c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</row>
    <row r="148" spans="1:22" ht="18.75" customHeight="1" x14ac:dyDescent="0.25">
      <c r="A148" s="52"/>
      <c r="B148" s="111"/>
      <c r="C148" s="103">
        <v>2023</v>
      </c>
      <c r="D148" s="148" t="s">
        <v>170</v>
      </c>
      <c r="E148" s="149"/>
      <c r="F148" s="149"/>
      <c r="G148" s="149"/>
      <c r="H148" s="150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</row>
    <row r="149" spans="1:22" s="48" customFormat="1" ht="19.5" customHeight="1" x14ac:dyDescent="0.25">
      <c r="A149" s="68">
        <v>11</v>
      </c>
      <c r="B149" s="84" t="s">
        <v>115</v>
      </c>
      <c r="C149" s="85" t="s">
        <v>108</v>
      </c>
      <c r="D149" s="86"/>
      <c r="E149" s="87"/>
      <c r="F149" s="88">
        <f>(F150+F151+F152)/3</f>
        <v>0.95000000000000007</v>
      </c>
      <c r="G149" s="89">
        <f>0.8*(G153)/1+0.2*F149</f>
        <v>0.93315333333333339</v>
      </c>
      <c r="H149" s="90" t="s">
        <v>48</v>
      </c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</row>
    <row r="150" spans="1:22" s="48" customFormat="1" ht="19.5" customHeight="1" x14ac:dyDescent="0.25">
      <c r="A150" s="69"/>
      <c r="B150" s="118"/>
      <c r="C150" s="93">
        <v>2021</v>
      </c>
      <c r="D150" s="66"/>
      <c r="E150" s="67"/>
      <c r="F150" s="94">
        <v>0.877</v>
      </c>
      <c r="G150" s="95">
        <f>0.8*(G154)+0.2*F150</f>
        <v>0.89739999999999998</v>
      </c>
      <c r="H150" s="126" t="s">
        <v>48</v>
      </c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</row>
    <row r="151" spans="1:22" s="48" customFormat="1" ht="19.5" customHeight="1" x14ac:dyDescent="0.25">
      <c r="A151" s="69"/>
      <c r="B151" s="118"/>
      <c r="C151" s="93">
        <v>2022</v>
      </c>
      <c r="D151" s="66"/>
      <c r="E151" s="67"/>
      <c r="F151" s="94">
        <v>1</v>
      </c>
      <c r="G151" s="95">
        <f>0.8*(G155)+0.2*F151</f>
        <v>0.97520000000000007</v>
      </c>
      <c r="H151" s="126" t="s">
        <v>49</v>
      </c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</row>
    <row r="152" spans="1:22" s="48" customFormat="1" ht="19.5" customHeight="1" x14ac:dyDescent="0.25">
      <c r="A152" s="69"/>
      <c r="B152" s="118"/>
      <c r="C152" s="93">
        <v>2023</v>
      </c>
      <c r="D152" s="66"/>
      <c r="E152" s="67"/>
      <c r="F152" s="94">
        <v>0.97299999999999998</v>
      </c>
      <c r="G152" s="95">
        <f>0.8*(G156)+0.2*F152</f>
        <v>0.91609560000000012</v>
      </c>
      <c r="H152" s="126" t="s">
        <v>48</v>
      </c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</row>
    <row r="153" spans="1:22" ht="18.75" customHeight="1" x14ac:dyDescent="0.25">
      <c r="A153" s="146" t="s">
        <v>40</v>
      </c>
      <c r="B153" s="107" t="s">
        <v>116</v>
      </c>
      <c r="C153" s="98" t="s">
        <v>108</v>
      </c>
      <c r="D153" s="114">
        <f>(D154)/1</f>
        <v>0.95</v>
      </c>
      <c r="E153" s="114">
        <f>(E154+E155+E156)/3</f>
        <v>0.96666666666666667</v>
      </c>
      <c r="F153" s="114">
        <f>(F154+F155+F156)/3</f>
        <v>0.98899999999999999</v>
      </c>
      <c r="G153" s="100">
        <f>D153*(0.5*E153+0.5*F153)</f>
        <v>0.92894166666666667</v>
      </c>
      <c r="H153" s="127" t="s">
        <v>48</v>
      </c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</row>
    <row r="154" spans="1:22" ht="18.75" customHeight="1" x14ac:dyDescent="0.25">
      <c r="A154" s="147"/>
      <c r="B154" s="109"/>
      <c r="C154" s="103">
        <v>2021</v>
      </c>
      <c r="D154" s="104">
        <v>0.95</v>
      </c>
      <c r="E154" s="104">
        <v>0.9</v>
      </c>
      <c r="F154" s="104">
        <v>1</v>
      </c>
      <c r="G154" s="105">
        <f>D154*(0.5*E154+0.5*F154)</f>
        <v>0.90249999999999997</v>
      </c>
      <c r="H154" s="110" t="s">
        <v>48</v>
      </c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</row>
    <row r="155" spans="1:22" ht="18.75" customHeight="1" x14ac:dyDescent="0.25">
      <c r="A155" s="147"/>
      <c r="B155" s="109"/>
      <c r="C155" s="103">
        <v>2022</v>
      </c>
      <c r="D155" s="104">
        <v>0.96899999999999997</v>
      </c>
      <c r="E155" s="104">
        <v>1</v>
      </c>
      <c r="F155" s="104">
        <v>1</v>
      </c>
      <c r="G155" s="105">
        <f>D155*(0.5*E155+0.5*F155)</f>
        <v>0.96899999999999997</v>
      </c>
      <c r="H155" s="110" t="s">
        <v>49</v>
      </c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</row>
    <row r="156" spans="1:22" ht="18.75" customHeight="1" x14ac:dyDescent="0.25">
      <c r="A156" s="147"/>
      <c r="B156" s="109"/>
      <c r="C156" s="103">
        <v>2023</v>
      </c>
      <c r="D156" s="104">
        <v>0.91700000000000004</v>
      </c>
      <c r="E156" s="104">
        <v>1</v>
      </c>
      <c r="F156" s="104">
        <v>0.96699999999999997</v>
      </c>
      <c r="G156" s="105">
        <f>D156*(0.5*E156+0.5*F156)</f>
        <v>0.9018695000000001</v>
      </c>
      <c r="H156" s="110" t="s">
        <v>48</v>
      </c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</row>
    <row r="157" spans="1:22" s="48" customFormat="1" ht="17.25" customHeight="1" x14ac:dyDescent="0.25">
      <c r="A157" s="68" t="s">
        <v>26</v>
      </c>
      <c r="B157" s="84" t="s">
        <v>172</v>
      </c>
      <c r="C157" s="85" t="s">
        <v>108</v>
      </c>
      <c r="D157" s="86"/>
      <c r="E157" s="87"/>
      <c r="F157" s="88">
        <f>(F158+F159+F160)/3</f>
        <v>0.99533333333333329</v>
      </c>
      <c r="G157" s="89">
        <f>0.8*(G161+G165+G169)/3+0.2*F157</f>
        <v>0.96675555555555559</v>
      </c>
      <c r="H157" s="90" t="s">
        <v>49</v>
      </c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</row>
    <row r="158" spans="1:22" s="48" customFormat="1" ht="17.25" customHeight="1" x14ac:dyDescent="0.25">
      <c r="A158" s="69"/>
      <c r="B158" s="118"/>
      <c r="C158" s="93">
        <v>2021</v>
      </c>
      <c r="D158" s="66"/>
      <c r="E158" s="67"/>
      <c r="F158" s="94">
        <v>1</v>
      </c>
      <c r="G158" s="95">
        <f>0.8*(G162+G166+G170)/3+0.2*F158</f>
        <v>0.97533333333333339</v>
      </c>
      <c r="H158" s="126" t="s">
        <v>49</v>
      </c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</row>
    <row r="159" spans="1:22" s="48" customFormat="1" ht="17.25" customHeight="1" x14ac:dyDescent="0.25">
      <c r="A159" s="69"/>
      <c r="B159" s="118"/>
      <c r="C159" s="93">
        <v>2022</v>
      </c>
      <c r="D159" s="66"/>
      <c r="E159" s="67"/>
      <c r="F159" s="94">
        <v>0.98599999999999999</v>
      </c>
      <c r="G159" s="95">
        <f>0.8*(G163+G167+G171)/3+0.2*F159</f>
        <v>0.94613333333333338</v>
      </c>
      <c r="H159" s="126" t="s">
        <v>49</v>
      </c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</row>
    <row r="160" spans="1:22" s="48" customFormat="1" ht="17.25" customHeight="1" x14ac:dyDescent="0.25">
      <c r="A160" s="69"/>
      <c r="B160" s="118"/>
      <c r="C160" s="93">
        <v>2023</v>
      </c>
      <c r="D160" s="66"/>
      <c r="E160" s="67"/>
      <c r="F160" s="94">
        <v>1</v>
      </c>
      <c r="G160" s="95">
        <f>0.8*(G164+G168+G172)/3+0.2*F160+0.01</f>
        <v>0.9887999999999999</v>
      </c>
      <c r="H160" s="126" t="s">
        <v>49</v>
      </c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</row>
    <row r="161" spans="1:22" ht="17.25" customHeight="1" x14ac:dyDescent="0.25">
      <c r="A161" s="49" t="s">
        <v>94</v>
      </c>
      <c r="B161" s="119" t="s">
        <v>173</v>
      </c>
      <c r="C161" s="98" t="s">
        <v>108</v>
      </c>
      <c r="D161" s="99">
        <f>(D162+D163+D164)/3</f>
        <v>1</v>
      </c>
      <c r="E161" s="99">
        <f>(E162+E163+E164)/3</f>
        <v>0.93166666666666664</v>
      </c>
      <c r="F161" s="99">
        <f>(F162+F163+F164)/3</f>
        <v>0.99233333333333329</v>
      </c>
      <c r="G161" s="100">
        <f>D161*(0.5*E161+0.5*F161)</f>
        <v>0.96199999999999997</v>
      </c>
      <c r="H161" s="127" t="s">
        <v>49</v>
      </c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</row>
    <row r="162" spans="1:22" ht="17.25" customHeight="1" x14ac:dyDescent="0.25">
      <c r="A162" s="52"/>
      <c r="B162" s="120"/>
      <c r="C162" s="103">
        <v>2021</v>
      </c>
      <c r="D162" s="104">
        <v>1</v>
      </c>
      <c r="E162" s="104">
        <v>0.96199999999999997</v>
      </c>
      <c r="F162" s="104">
        <v>0.996</v>
      </c>
      <c r="G162" s="105">
        <f>D162*(0.5*E162+0.5*F162)</f>
        <v>0.97899999999999998</v>
      </c>
      <c r="H162" s="110" t="s">
        <v>49</v>
      </c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</row>
    <row r="163" spans="1:22" ht="17.25" customHeight="1" x14ac:dyDescent="0.25">
      <c r="A163" s="52"/>
      <c r="B163" s="120"/>
      <c r="C163" s="103">
        <v>2022</v>
      </c>
      <c r="D163" s="104">
        <v>1</v>
      </c>
      <c r="E163" s="104">
        <v>0.83299999999999996</v>
      </c>
      <c r="F163" s="104">
        <v>1</v>
      </c>
      <c r="G163" s="105">
        <f>D163*(0.5*E163+0.5*F163)</f>
        <v>0.91649999999999998</v>
      </c>
      <c r="H163" s="110" t="s">
        <v>48</v>
      </c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</row>
    <row r="164" spans="1:22" ht="17.25" customHeight="1" x14ac:dyDescent="0.25">
      <c r="A164" s="52"/>
      <c r="B164" s="120"/>
      <c r="C164" s="103">
        <v>2023</v>
      </c>
      <c r="D164" s="104">
        <v>1</v>
      </c>
      <c r="E164" s="104">
        <v>1</v>
      </c>
      <c r="F164" s="104">
        <v>0.98099999999999998</v>
      </c>
      <c r="G164" s="105">
        <f>D164*(0.5*E164+0.5*F164)</f>
        <v>0.99049999999999994</v>
      </c>
      <c r="H164" s="110" t="s">
        <v>49</v>
      </c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</row>
    <row r="165" spans="1:22" ht="18" customHeight="1" x14ac:dyDescent="0.25">
      <c r="A165" s="49" t="s">
        <v>93</v>
      </c>
      <c r="B165" s="107" t="s">
        <v>174</v>
      </c>
      <c r="C165" s="98" t="s">
        <v>108</v>
      </c>
      <c r="D165" s="99" t="s">
        <v>43</v>
      </c>
      <c r="E165" s="99">
        <f>(E166+E167+E168)/3</f>
        <v>1</v>
      </c>
      <c r="F165" s="99">
        <f>(F166+F167+F168)/3</f>
        <v>1</v>
      </c>
      <c r="G165" s="100">
        <f>1*(0.5*E165+0.5*F165)</f>
        <v>1</v>
      </c>
      <c r="H165" s="127" t="s">
        <v>49</v>
      </c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</row>
    <row r="166" spans="1:22" ht="18" customHeight="1" x14ac:dyDescent="0.25">
      <c r="A166" s="52"/>
      <c r="B166" s="111"/>
      <c r="C166" s="103">
        <v>2021</v>
      </c>
      <c r="D166" s="104" t="s">
        <v>43</v>
      </c>
      <c r="E166" s="104">
        <v>1</v>
      </c>
      <c r="F166" s="104">
        <v>1</v>
      </c>
      <c r="G166" s="105">
        <f>1*(0.5*E166+0.5*F166)</f>
        <v>1</v>
      </c>
      <c r="H166" s="110" t="s">
        <v>49</v>
      </c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</row>
    <row r="167" spans="1:22" ht="18" customHeight="1" x14ac:dyDescent="0.25">
      <c r="A167" s="52"/>
      <c r="B167" s="111"/>
      <c r="C167" s="103">
        <v>2022</v>
      </c>
      <c r="D167" s="104" t="s">
        <v>43</v>
      </c>
      <c r="E167" s="104">
        <v>1</v>
      </c>
      <c r="F167" s="104">
        <v>1</v>
      </c>
      <c r="G167" s="105">
        <f t="shared" ref="G167:G168" si="12">1*(0.5*E167+0.5*F167)</f>
        <v>1</v>
      </c>
      <c r="H167" s="110" t="s">
        <v>49</v>
      </c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</row>
    <row r="168" spans="1:22" ht="18" customHeight="1" x14ac:dyDescent="0.25">
      <c r="A168" s="52"/>
      <c r="B168" s="111"/>
      <c r="C168" s="103">
        <v>2023</v>
      </c>
      <c r="D168" s="104" t="s">
        <v>43</v>
      </c>
      <c r="E168" s="104">
        <v>1</v>
      </c>
      <c r="F168" s="104">
        <v>1</v>
      </c>
      <c r="G168" s="105">
        <f t="shared" si="12"/>
        <v>1</v>
      </c>
      <c r="H168" s="110" t="s">
        <v>49</v>
      </c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</row>
    <row r="169" spans="1:22" ht="15" customHeight="1" x14ac:dyDescent="0.25">
      <c r="A169" s="49" t="s">
        <v>95</v>
      </c>
      <c r="B169" s="107" t="s">
        <v>175</v>
      </c>
      <c r="C169" s="98" t="s">
        <v>108</v>
      </c>
      <c r="D169" s="99" t="s">
        <v>43</v>
      </c>
      <c r="E169" s="99">
        <f>(E170+E171+E172)/3</f>
        <v>0.84133333333333338</v>
      </c>
      <c r="F169" s="99">
        <f>(F170+F171+F172)/3</f>
        <v>0.99233333333333329</v>
      </c>
      <c r="G169" s="100">
        <f>1*(0.5*E169+0.5*F169)</f>
        <v>0.91683333333333339</v>
      </c>
      <c r="H169" s="101" t="s">
        <v>48</v>
      </c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</row>
    <row r="170" spans="1:22" ht="15" customHeight="1" x14ac:dyDescent="0.25">
      <c r="A170" s="52"/>
      <c r="B170" s="111"/>
      <c r="C170" s="103">
        <v>2021</v>
      </c>
      <c r="D170" s="104" t="s">
        <v>43</v>
      </c>
      <c r="E170" s="104">
        <v>0.85699999999999998</v>
      </c>
      <c r="F170" s="104">
        <v>1</v>
      </c>
      <c r="G170" s="105">
        <f>1*(0.5*E170+0.5*F170)</f>
        <v>0.92849999999999999</v>
      </c>
      <c r="H170" s="106" t="s">
        <v>48</v>
      </c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</row>
    <row r="171" spans="1:22" ht="15" customHeight="1" x14ac:dyDescent="0.25">
      <c r="A171" s="52"/>
      <c r="B171" s="111"/>
      <c r="C171" s="103">
        <v>2022</v>
      </c>
      <c r="D171" s="104" t="s">
        <v>43</v>
      </c>
      <c r="E171" s="104">
        <v>0.8</v>
      </c>
      <c r="F171" s="104">
        <v>0.98399999999999999</v>
      </c>
      <c r="G171" s="105">
        <f>1*(0.5*E171+0.5*F171)</f>
        <v>0.89200000000000002</v>
      </c>
      <c r="H171" s="106" t="s">
        <v>48</v>
      </c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</row>
    <row r="172" spans="1:22" ht="15" customHeight="1" x14ac:dyDescent="0.25">
      <c r="A172" s="52"/>
      <c r="B172" s="111"/>
      <c r="C172" s="103">
        <v>2023</v>
      </c>
      <c r="D172" s="104" t="s">
        <v>43</v>
      </c>
      <c r="E172" s="104">
        <v>0.86699999999999999</v>
      </c>
      <c r="F172" s="104">
        <v>0.99299999999999999</v>
      </c>
      <c r="G172" s="105">
        <f>1*(0.5*E172+0.5*F172)</f>
        <v>0.92999999999999994</v>
      </c>
      <c r="H172" s="106" t="s">
        <v>48</v>
      </c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</row>
    <row r="173" spans="1:22" s="48" customFormat="1" ht="16.5" customHeight="1" x14ac:dyDescent="0.25">
      <c r="A173" s="68" t="s">
        <v>27</v>
      </c>
      <c r="B173" s="84" t="s">
        <v>66</v>
      </c>
      <c r="C173" s="85" t="s">
        <v>108</v>
      </c>
      <c r="D173" s="86"/>
      <c r="E173" s="87"/>
      <c r="F173" s="88">
        <f>(F174+F175+F176)/3</f>
        <v>0.96133333333333348</v>
      </c>
      <c r="G173" s="89">
        <f>0.8*(G177+G181+G185+G189+G193)/5+0.2*F173</f>
        <v>0.93910210888888901</v>
      </c>
      <c r="H173" s="90" t="s">
        <v>48</v>
      </c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</row>
    <row r="174" spans="1:22" s="48" customFormat="1" ht="16.5" customHeight="1" x14ac:dyDescent="0.25">
      <c r="A174" s="69"/>
      <c r="B174" s="118"/>
      <c r="C174" s="93">
        <v>2021</v>
      </c>
      <c r="D174" s="66"/>
      <c r="E174" s="67"/>
      <c r="F174" s="94">
        <v>0.95399999999999996</v>
      </c>
      <c r="G174" s="95">
        <f>0.8*(G178+G182+G186+G190)/4+0.2*F174</f>
        <v>0.93421129999999997</v>
      </c>
      <c r="H174" s="126" t="s">
        <v>48</v>
      </c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</row>
    <row r="175" spans="1:22" s="48" customFormat="1" ht="16.5" customHeight="1" x14ac:dyDescent="0.25">
      <c r="A175" s="69"/>
      <c r="B175" s="118"/>
      <c r="C175" s="93">
        <v>2022</v>
      </c>
      <c r="D175" s="66"/>
      <c r="E175" s="67"/>
      <c r="F175" s="94">
        <v>0.93600000000000005</v>
      </c>
      <c r="G175" s="95">
        <f>0.8*(G179+G183+G187+G191+G195)/5+0.2*F175</f>
        <v>0.94289215999999998</v>
      </c>
      <c r="H175" s="126" t="s">
        <v>48</v>
      </c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</row>
    <row r="176" spans="1:22" s="48" customFormat="1" ht="16.5" customHeight="1" x14ac:dyDescent="0.25">
      <c r="A176" s="69"/>
      <c r="B176" s="118"/>
      <c r="C176" s="93">
        <v>2023</v>
      </c>
      <c r="D176" s="66"/>
      <c r="E176" s="67"/>
      <c r="F176" s="94">
        <v>0.99399999999999999</v>
      </c>
      <c r="G176" s="95">
        <f>0.8*(G180+G184+G196)/3+0.2*F176</f>
        <v>0.89622239999999986</v>
      </c>
      <c r="H176" s="126" t="s">
        <v>48</v>
      </c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</row>
    <row r="177" spans="1:22" ht="18.75" customHeight="1" x14ac:dyDescent="0.25">
      <c r="A177" s="146" t="s">
        <v>100</v>
      </c>
      <c r="B177" s="107" t="s">
        <v>96</v>
      </c>
      <c r="C177" s="98" t="s">
        <v>108</v>
      </c>
      <c r="D177" s="99">
        <f>(0.995+D179+D180)/3</f>
        <v>0.96766666666666667</v>
      </c>
      <c r="E177" s="99">
        <f>(E178+E179+E180)/3</f>
        <v>1</v>
      </c>
      <c r="F177" s="99">
        <f>(F178+F179+F180)/3</f>
        <v>0.99766666666666659</v>
      </c>
      <c r="G177" s="100">
        <f>D177*(0.5*E177+0.5*F177)</f>
        <v>0.96653772222222212</v>
      </c>
      <c r="H177" s="127" t="s">
        <v>49</v>
      </c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</row>
    <row r="178" spans="1:22" ht="18.75" customHeight="1" x14ac:dyDescent="0.25">
      <c r="A178" s="52"/>
      <c r="B178" s="111"/>
      <c r="C178" s="103">
        <v>2021</v>
      </c>
      <c r="D178" s="104" t="s">
        <v>137</v>
      </c>
      <c r="E178" s="104">
        <v>1</v>
      </c>
      <c r="F178" s="104">
        <v>0.99299999999999999</v>
      </c>
      <c r="G178" s="105">
        <f>0.995*(0.5*E178+0.5*F178)</f>
        <v>0.99151749999999994</v>
      </c>
      <c r="H178" s="106" t="s">
        <v>180</v>
      </c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</row>
    <row r="179" spans="1:22" ht="18.75" customHeight="1" x14ac:dyDescent="0.25">
      <c r="A179" s="52"/>
      <c r="B179" s="111"/>
      <c r="C179" s="103">
        <v>2022</v>
      </c>
      <c r="D179" s="104">
        <v>0.94499999999999995</v>
      </c>
      <c r="E179" s="104">
        <v>1</v>
      </c>
      <c r="F179" s="104">
        <v>1</v>
      </c>
      <c r="G179" s="105">
        <f>D179*(0.5*E179+0.5*F179)-0.01</f>
        <v>0.93499999999999994</v>
      </c>
      <c r="H179" s="110" t="s">
        <v>48</v>
      </c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</row>
    <row r="180" spans="1:22" ht="18.75" customHeight="1" x14ac:dyDescent="0.25">
      <c r="A180" s="52"/>
      <c r="B180" s="111"/>
      <c r="C180" s="103">
        <v>2023</v>
      </c>
      <c r="D180" s="104">
        <v>0.96299999999999997</v>
      </c>
      <c r="E180" s="104">
        <v>1</v>
      </c>
      <c r="F180" s="104">
        <v>1</v>
      </c>
      <c r="G180" s="105">
        <f t="shared" ref="G180" si="13">D180*(0.5*E180+0.5*F180)</f>
        <v>0.96299999999999997</v>
      </c>
      <c r="H180" s="110" t="s">
        <v>49</v>
      </c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</row>
    <row r="181" spans="1:22" ht="18.75" customHeight="1" x14ac:dyDescent="0.25">
      <c r="A181" s="49" t="s">
        <v>117</v>
      </c>
      <c r="B181" s="97" t="s">
        <v>97</v>
      </c>
      <c r="C181" s="98" t="s">
        <v>108</v>
      </c>
      <c r="D181" s="99">
        <f>(D182+D183+D184)/3</f>
        <v>0.95766666666666678</v>
      </c>
      <c r="E181" s="99">
        <f>(E182+E183+E184)/3</f>
        <v>0.75266666666666671</v>
      </c>
      <c r="F181" s="99">
        <f>(F182+F183+F184)/3</f>
        <v>0.84233333333333338</v>
      </c>
      <c r="G181" s="100">
        <f>D181*(0.5*E181+0.5*F181)</f>
        <v>0.76373916666666686</v>
      </c>
      <c r="H181" s="127" t="s">
        <v>48</v>
      </c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</row>
    <row r="182" spans="1:22" ht="18.75" customHeight="1" x14ac:dyDescent="0.25">
      <c r="A182" s="52"/>
      <c r="B182" s="111"/>
      <c r="C182" s="103">
        <v>2021</v>
      </c>
      <c r="D182" s="104">
        <v>0.95099999999999996</v>
      </c>
      <c r="E182" s="104">
        <v>0.72</v>
      </c>
      <c r="F182" s="104">
        <v>0.85099999999999998</v>
      </c>
      <c r="G182" s="105">
        <f t="shared" ref="G182:G183" si="14">D182*(0.5*E182+0.5*F182)</f>
        <v>0.74701049999999991</v>
      </c>
      <c r="H182" s="110" t="s">
        <v>48</v>
      </c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</row>
    <row r="183" spans="1:22" ht="18.75" customHeight="1" x14ac:dyDescent="0.25">
      <c r="A183" s="52"/>
      <c r="B183" s="111"/>
      <c r="C183" s="103">
        <v>2022</v>
      </c>
      <c r="D183" s="104">
        <v>0.96399999999999997</v>
      </c>
      <c r="E183" s="104">
        <v>0.77800000000000002</v>
      </c>
      <c r="F183" s="104">
        <v>0.94</v>
      </c>
      <c r="G183" s="105">
        <f t="shared" si="14"/>
        <v>0.82807599999999992</v>
      </c>
      <c r="H183" s="110" t="s">
        <v>48</v>
      </c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</row>
    <row r="184" spans="1:22" ht="18.75" customHeight="1" x14ac:dyDescent="0.25">
      <c r="A184" s="52"/>
      <c r="B184" s="111"/>
      <c r="C184" s="103">
        <v>2023</v>
      </c>
      <c r="D184" s="104">
        <v>0.95799999999999996</v>
      </c>
      <c r="E184" s="104">
        <v>0.76</v>
      </c>
      <c r="F184" s="104">
        <v>0.73599999999999999</v>
      </c>
      <c r="G184" s="105">
        <f>D184*(0.5*E184+0.5*F184)</f>
        <v>0.716584</v>
      </c>
      <c r="H184" s="110" t="s">
        <v>48</v>
      </c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</row>
    <row r="185" spans="1:22" ht="18.75" customHeight="1" x14ac:dyDescent="0.25">
      <c r="A185" s="49" t="s">
        <v>118</v>
      </c>
      <c r="B185" s="97" t="s">
        <v>98</v>
      </c>
      <c r="C185" s="98" t="s">
        <v>108</v>
      </c>
      <c r="D185" s="99">
        <f>(0.981+D187)/2</f>
        <v>0.99049999999999994</v>
      </c>
      <c r="E185" s="99">
        <f>(E186+E187)/2</f>
        <v>1</v>
      </c>
      <c r="F185" s="99">
        <f>(F186+F187)/2</f>
        <v>0.99849999999999994</v>
      </c>
      <c r="G185" s="100">
        <f>D185*(0.5*E185+0.5*F185)</f>
        <v>0.9897571249999999</v>
      </c>
      <c r="H185" s="127" t="s">
        <v>49</v>
      </c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</row>
    <row r="186" spans="1:22" ht="18.75" customHeight="1" x14ac:dyDescent="0.25">
      <c r="A186" s="52"/>
      <c r="B186" s="111"/>
      <c r="C186" s="103">
        <v>2021</v>
      </c>
      <c r="D186" s="104" t="s">
        <v>138</v>
      </c>
      <c r="E186" s="104">
        <v>1</v>
      </c>
      <c r="F186" s="104">
        <v>0.997</v>
      </c>
      <c r="G186" s="105">
        <f>0.981*(0.5*E186+0.5*F186)</f>
        <v>0.97952849999999991</v>
      </c>
      <c r="H186" s="106" t="s">
        <v>180</v>
      </c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</row>
    <row r="187" spans="1:22" ht="18.75" customHeight="1" x14ac:dyDescent="0.25">
      <c r="A187" s="52"/>
      <c r="B187" s="111"/>
      <c r="C187" s="103">
        <v>2022</v>
      </c>
      <c r="D187" s="104">
        <v>1</v>
      </c>
      <c r="E187" s="104">
        <v>1</v>
      </c>
      <c r="F187" s="104">
        <v>1</v>
      </c>
      <c r="G187" s="105">
        <f>D187*(0.5*E187+0.5*F187)</f>
        <v>1</v>
      </c>
      <c r="H187" s="104" t="s">
        <v>49</v>
      </c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</row>
    <row r="188" spans="1:22" ht="18.75" customHeight="1" x14ac:dyDescent="0.25">
      <c r="A188" s="52"/>
      <c r="B188" s="111"/>
      <c r="C188" s="103">
        <v>2023</v>
      </c>
      <c r="D188" s="148" t="s">
        <v>143</v>
      </c>
      <c r="E188" s="149"/>
      <c r="F188" s="149"/>
      <c r="G188" s="149"/>
      <c r="H188" s="150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</row>
    <row r="189" spans="1:22" ht="18.75" customHeight="1" x14ac:dyDescent="0.25">
      <c r="A189" s="151" t="s">
        <v>119</v>
      </c>
      <c r="B189" s="152" t="s">
        <v>99</v>
      </c>
      <c r="C189" s="98" t="s">
        <v>108</v>
      </c>
      <c r="D189" s="99">
        <f>(D190+D191)/2</f>
        <v>0.99950000000000006</v>
      </c>
      <c r="E189" s="99">
        <f>(E190+E191)/2</f>
        <v>1</v>
      </c>
      <c r="F189" s="99">
        <f>(F190+F191)/2</f>
        <v>1</v>
      </c>
      <c r="G189" s="100">
        <f>D189*(0.5*E189+0.5*F189)</f>
        <v>0.99950000000000006</v>
      </c>
      <c r="H189" s="127" t="s">
        <v>49</v>
      </c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</row>
    <row r="190" spans="1:22" ht="18.75" customHeight="1" x14ac:dyDescent="0.25">
      <c r="A190" s="153"/>
      <c r="B190" s="154"/>
      <c r="C190" s="103">
        <v>2021</v>
      </c>
      <c r="D190" s="104">
        <v>0.999</v>
      </c>
      <c r="E190" s="104">
        <v>1</v>
      </c>
      <c r="F190" s="104">
        <v>1</v>
      </c>
      <c r="G190" s="105">
        <f t="shared" ref="G190" si="15">D190*(0.5*E190+0.5*F190)</f>
        <v>0.999</v>
      </c>
      <c r="H190" s="104" t="s">
        <v>49</v>
      </c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</row>
    <row r="191" spans="1:22" ht="18.75" customHeight="1" x14ac:dyDescent="0.25">
      <c r="A191" s="153"/>
      <c r="B191" s="154"/>
      <c r="C191" s="103">
        <v>2022</v>
      </c>
      <c r="D191" s="104">
        <v>1</v>
      </c>
      <c r="E191" s="104">
        <v>1</v>
      </c>
      <c r="F191" s="104">
        <v>1</v>
      </c>
      <c r="G191" s="105">
        <f>D191*(0.5*E191+0.5*F191)</f>
        <v>1</v>
      </c>
      <c r="H191" s="104" t="s">
        <v>49</v>
      </c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</row>
    <row r="192" spans="1:22" ht="18.75" customHeight="1" x14ac:dyDescent="0.25">
      <c r="A192" s="153"/>
      <c r="B192" s="154"/>
      <c r="C192" s="103">
        <v>2023</v>
      </c>
      <c r="D192" s="148" t="s">
        <v>143</v>
      </c>
      <c r="E192" s="149"/>
      <c r="F192" s="149"/>
      <c r="G192" s="149"/>
      <c r="H192" s="150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</row>
    <row r="193" spans="1:22" ht="18.75" customHeight="1" x14ac:dyDescent="0.25">
      <c r="A193" s="151" t="s">
        <v>120</v>
      </c>
      <c r="B193" s="152" t="s">
        <v>121</v>
      </c>
      <c r="C193" s="98" t="s">
        <v>108</v>
      </c>
      <c r="D193" s="99">
        <f>(D195+D196)/2</f>
        <v>0.97249999999999992</v>
      </c>
      <c r="E193" s="99">
        <f>(E195+E196)/2</f>
        <v>0.95</v>
      </c>
      <c r="F193" s="99">
        <f>(F195+F196)/2</f>
        <v>1</v>
      </c>
      <c r="G193" s="100">
        <f>D193*(0.5*E193+0.5*F193)</f>
        <v>0.94818749999999985</v>
      </c>
      <c r="H193" s="127" t="s">
        <v>49</v>
      </c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</row>
    <row r="194" spans="1:22" ht="18.75" customHeight="1" x14ac:dyDescent="0.25">
      <c r="A194" s="153"/>
      <c r="B194" s="154"/>
      <c r="C194" s="103">
        <v>2021</v>
      </c>
      <c r="D194" s="148" t="s">
        <v>142</v>
      </c>
      <c r="E194" s="149"/>
      <c r="F194" s="149"/>
      <c r="G194" s="149"/>
      <c r="H194" s="150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</row>
    <row r="195" spans="1:22" ht="18.75" customHeight="1" x14ac:dyDescent="0.25">
      <c r="A195" s="153"/>
      <c r="B195" s="154"/>
      <c r="C195" s="103">
        <v>2022</v>
      </c>
      <c r="D195" s="104">
        <v>0.96</v>
      </c>
      <c r="E195" s="104">
        <v>1</v>
      </c>
      <c r="F195" s="104">
        <v>1</v>
      </c>
      <c r="G195" s="105">
        <f>D195*(0.5*E195+0.5*F195)</f>
        <v>0.96</v>
      </c>
      <c r="H195" s="104" t="s">
        <v>49</v>
      </c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</row>
    <row r="196" spans="1:22" ht="18.75" customHeight="1" x14ac:dyDescent="0.25">
      <c r="A196" s="153"/>
      <c r="B196" s="154"/>
      <c r="C196" s="103">
        <v>2023</v>
      </c>
      <c r="D196" s="104">
        <v>0.98499999999999999</v>
      </c>
      <c r="E196" s="104">
        <v>0.9</v>
      </c>
      <c r="F196" s="104">
        <v>1</v>
      </c>
      <c r="G196" s="105">
        <f t="shared" ref="G196" si="16">D196*(0.5*E196+0.5*F196)</f>
        <v>0.93574999999999997</v>
      </c>
      <c r="H196" s="104" t="s">
        <v>48</v>
      </c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</row>
    <row r="197" spans="1:22" s="48" customFormat="1" ht="19.5" customHeight="1" x14ac:dyDescent="0.25">
      <c r="A197" s="68" t="s">
        <v>28</v>
      </c>
      <c r="B197" s="84" t="s">
        <v>67</v>
      </c>
      <c r="C197" s="85" t="s">
        <v>108</v>
      </c>
      <c r="D197" s="86"/>
      <c r="E197" s="87"/>
      <c r="F197" s="88">
        <f>(F198+F199+F200)/3</f>
        <v>0.78533333333333333</v>
      </c>
      <c r="G197" s="89">
        <f>0.8*G201+0.2*F197</f>
        <v>0.93559999999999999</v>
      </c>
      <c r="H197" s="90" t="s">
        <v>48</v>
      </c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</row>
    <row r="198" spans="1:22" s="48" customFormat="1" ht="19.5" customHeight="1" x14ac:dyDescent="0.25">
      <c r="A198" s="69"/>
      <c r="B198" s="118"/>
      <c r="C198" s="93">
        <v>2021</v>
      </c>
      <c r="D198" s="66"/>
      <c r="E198" s="67"/>
      <c r="F198" s="94">
        <v>0.77200000000000002</v>
      </c>
      <c r="G198" s="95">
        <f>0.8*G202+0.2*F198</f>
        <v>0.93279999999999996</v>
      </c>
      <c r="H198" s="126" t="s">
        <v>48</v>
      </c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</row>
    <row r="199" spans="1:22" s="48" customFormat="1" ht="19.5" customHeight="1" x14ac:dyDescent="0.25">
      <c r="A199" s="69"/>
      <c r="B199" s="118"/>
      <c r="C199" s="93">
        <v>2022</v>
      </c>
      <c r="D199" s="66"/>
      <c r="E199" s="67"/>
      <c r="F199" s="94">
        <v>0.8</v>
      </c>
      <c r="G199" s="95">
        <f>0.8*G203+0.2*F199</f>
        <v>0.93720000000000014</v>
      </c>
      <c r="H199" s="126" t="s">
        <v>48</v>
      </c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</row>
    <row r="200" spans="1:22" s="48" customFormat="1" ht="19.5" customHeight="1" x14ac:dyDescent="0.25">
      <c r="A200" s="69"/>
      <c r="B200" s="118"/>
      <c r="C200" s="93">
        <v>2023</v>
      </c>
      <c r="D200" s="66"/>
      <c r="E200" s="67"/>
      <c r="F200" s="94">
        <v>0.78400000000000003</v>
      </c>
      <c r="G200" s="95">
        <f>0.8*G204+0.2*F200</f>
        <v>0.93680000000000008</v>
      </c>
      <c r="H200" s="126" t="s">
        <v>48</v>
      </c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</row>
    <row r="201" spans="1:22" ht="19.5" customHeight="1" x14ac:dyDescent="0.25">
      <c r="A201" s="49" t="s">
        <v>87</v>
      </c>
      <c r="B201" s="119" t="s">
        <v>68</v>
      </c>
      <c r="C201" s="98" t="s">
        <v>108</v>
      </c>
      <c r="D201" s="99">
        <f>(1+1+1)/3</f>
        <v>1</v>
      </c>
      <c r="E201" s="99">
        <f>(E202+E203+E204)/3</f>
        <v>1</v>
      </c>
      <c r="F201" s="99">
        <f>(F202+F203+F204)/3</f>
        <v>0.94633333333333314</v>
      </c>
      <c r="G201" s="100">
        <f>D201*(0.5*E201+0.5*F201)</f>
        <v>0.97316666666666651</v>
      </c>
      <c r="H201" s="127" t="s">
        <v>49</v>
      </c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</row>
    <row r="202" spans="1:22" ht="19.5" customHeight="1" x14ac:dyDescent="0.25">
      <c r="A202" s="52"/>
      <c r="B202" s="120"/>
      <c r="C202" s="103">
        <v>2021</v>
      </c>
      <c r="D202" s="104" t="s">
        <v>139</v>
      </c>
      <c r="E202" s="104">
        <v>1</v>
      </c>
      <c r="F202" s="104">
        <v>0.94599999999999995</v>
      </c>
      <c r="G202" s="105">
        <f>1*(0.5*E202+0.5*F202)</f>
        <v>0.97299999999999998</v>
      </c>
      <c r="H202" s="110" t="s">
        <v>49</v>
      </c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</row>
    <row r="203" spans="1:22" ht="19.5" customHeight="1" x14ac:dyDescent="0.25">
      <c r="A203" s="52"/>
      <c r="B203" s="120"/>
      <c r="C203" s="103">
        <v>2022</v>
      </c>
      <c r="D203" s="104" t="s">
        <v>122</v>
      </c>
      <c r="E203" s="104">
        <v>1</v>
      </c>
      <c r="F203" s="104">
        <v>0.94299999999999995</v>
      </c>
      <c r="G203" s="105">
        <f>1*(0.5*E203+0.5*F203)</f>
        <v>0.97150000000000003</v>
      </c>
      <c r="H203" s="110" t="s">
        <v>49</v>
      </c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</row>
    <row r="204" spans="1:22" ht="19.5" customHeight="1" x14ac:dyDescent="0.25">
      <c r="A204" s="52"/>
      <c r="B204" s="120"/>
      <c r="C204" s="103">
        <v>2023</v>
      </c>
      <c r="D204" s="104">
        <v>1</v>
      </c>
      <c r="E204" s="104">
        <v>1</v>
      </c>
      <c r="F204" s="104">
        <v>0.95</v>
      </c>
      <c r="G204" s="105">
        <f>1*(0.5*E204+0.5*F204)</f>
        <v>0.97499999999999998</v>
      </c>
      <c r="H204" s="110" t="s">
        <v>49</v>
      </c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</row>
    <row r="205" spans="1:22" s="48" customFormat="1" ht="15.75" customHeight="1" x14ac:dyDescent="0.25">
      <c r="A205" s="68">
        <v>15</v>
      </c>
      <c r="B205" s="84" t="s">
        <v>79</v>
      </c>
      <c r="C205" s="85" t="s">
        <v>108</v>
      </c>
      <c r="D205" s="86"/>
      <c r="E205" s="87"/>
      <c r="F205" s="88">
        <f>(F206+F207+F208)/3</f>
        <v>0.94566666666666654</v>
      </c>
      <c r="G205" s="89">
        <f>0.8*(G209+G213+G217)/3+0.2*F205</f>
        <v>0.93205054814814803</v>
      </c>
      <c r="H205" s="90" t="s">
        <v>48</v>
      </c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</row>
    <row r="206" spans="1:22" s="48" customFormat="1" ht="18.75" customHeight="1" x14ac:dyDescent="0.25">
      <c r="A206" s="69"/>
      <c r="B206" s="118"/>
      <c r="C206" s="93">
        <v>2021</v>
      </c>
      <c r="D206" s="66"/>
      <c r="E206" s="67"/>
      <c r="F206" s="94">
        <v>0.998</v>
      </c>
      <c r="G206" s="95">
        <f>0.8*(G210+G214+G218)/3+0.2*F206</f>
        <v>0.94335493333333331</v>
      </c>
      <c r="H206" s="126" t="s">
        <v>48</v>
      </c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</row>
    <row r="207" spans="1:22" s="48" customFormat="1" ht="18.75" customHeight="1" x14ac:dyDescent="0.25">
      <c r="A207" s="69"/>
      <c r="B207" s="118"/>
      <c r="C207" s="93">
        <v>2022</v>
      </c>
      <c r="D207" s="66"/>
      <c r="E207" s="67"/>
      <c r="F207" s="94">
        <v>0.97199999999999998</v>
      </c>
      <c r="G207" s="95">
        <f>0.8*(G211+G219)/2+0.2*F207</f>
        <v>0.97740000000000005</v>
      </c>
      <c r="H207" s="126" t="s">
        <v>49</v>
      </c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</row>
    <row r="208" spans="1:22" s="48" customFormat="1" ht="18.75" customHeight="1" x14ac:dyDescent="0.25">
      <c r="A208" s="69"/>
      <c r="B208" s="118"/>
      <c r="C208" s="93">
        <v>2023</v>
      </c>
      <c r="D208" s="66"/>
      <c r="E208" s="67"/>
      <c r="F208" s="94">
        <v>0.86699999999999999</v>
      </c>
      <c r="G208" s="95">
        <f>0.8*(G212)/1+0.2*F208</f>
        <v>0.84861280000000006</v>
      </c>
      <c r="H208" s="126" t="s">
        <v>48</v>
      </c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</row>
    <row r="209" spans="1:22" ht="18.75" customHeight="1" x14ac:dyDescent="0.25">
      <c r="A209" s="49" t="s">
        <v>83</v>
      </c>
      <c r="B209" s="155" t="s">
        <v>80</v>
      </c>
      <c r="C209" s="98" t="s">
        <v>108</v>
      </c>
      <c r="D209" s="99">
        <f>(D210+D211+D212)/3</f>
        <v>0.99533333333333329</v>
      </c>
      <c r="E209" s="99">
        <f>(E210+E211+E212)/3</f>
        <v>0.91666666666666663</v>
      </c>
      <c r="F209" s="99">
        <f>(F210+F211+F212)/3</f>
        <v>0.91166666666666663</v>
      </c>
      <c r="G209" s="100">
        <f>D209*(0.5*E209+0.5*F209)</f>
        <v>0.90990055555555538</v>
      </c>
      <c r="H209" s="101" t="s">
        <v>48</v>
      </c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</row>
    <row r="210" spans="1:22" ht="18.75" customHeight="1" x14ac:dyDescent="0.25">
      <c r="A210" s="52"/>
      <c r="B210" s="120"/>
      <c r="C210" s="103">
        <v>2021</v>
      </c>
      <c r="D210" s="104">
        <v>1</v>
      </c>
      <c r="E210" s="104">
        <v>1</v>
      </c>
      <c r="F210" s="104">
        <v>0.83299999999999996</v>
      </c>
      <c r="G210" s="105">
        <f t="shared" ref="G210:G214" si="17">D210*(0.5*E210+0.5*F210)</f>
        <v>0.91649999999999998</v>
      </c>
      <c r="H210" s="106" t="s">
        <v>48</v>
      </c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</row>
    <row r="211" spans="1:22" ht="18.75" customHeight="1" x14ac:dyDescent="0.25">
      <c r="A211" s="52"/>
      <c r="B211" s="120"/>
      <c r="C211" s="103">
        <v>2022</v>
      </c>
      <c r="D211" s="104">
        <v>1</v>
      </c>
      <c r="E211" s="104">
        <v>1</v>
      </c>
      <c r="F211" s="104">
        <v>0.94</v>
      </c>
      <c r="G211" s="105">
        <f t="shared" si="17"/>
        <v>0.97</v>
      </c>
      <c r="H211" s="106" t="s">
        <v>124</v>
      </c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</row>
    <row r="212" spans="1:22" ht="18.75" customHeight="1" x14ac:dyDescent="0.25">
      <c r="A212" s="52"/>
      <c r="B212" s="120"/>
      <c r="C212" s="103">
        <v>2023</v>
      </c>
      <c r="D212" s="104">
        <v>0.98599999999999999</v>
      </c>
      <c r="E212" s="104">
        <v>0.75</v>
      </c>
      <c r="F212" s="104">
        <v>0.96199999999999997</v>
      </c>
      <c r="G212" s="105">
        <f t="shared" si="17"/>
        <v>0.84401599999999999</v>
      </c>
      <c r="H212" s="106" t="s">
        <v>48</v>
      </c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</row>
    <row r="213" spans="1:22" ht="18.75" customHeight="1" x14ac:dyDescent="0.25">
      <c r="A213" s="49" t="s">
        <v>84</v>
      </c>
      <c r="B213" s="155" t="s">
        <v>81</v>
      </c>
      <c r="C213" s="98" t="s">
        <v>108</v>
      </c>
      <c r="D213" s="99">
        <f>D214</f>
        <v>0.89200000000000002</v>
      </c>
      <c r="E213" s="99">
        <f>E214</f>
        <v>1</v>
      </c>
      <c r="F213" s="99">
        <f>F214</f>
        <v>1</v>
      </c>
      <c r="G213" s="100">
        <f>D213*(0.5*E213+0.5*F213)</f>
        <v>0.89200000000000002</v>
      </c>
      <c r="H213" s="101" t="s">
        <v>48</v>
      </c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</row>
    <row r="214" spans="1:22" ht="18.75" customHeight="1" x14ac:dyDescent="0.25">
      <c r="A214" s="52"/>
      <c r="B214" s="120"/>
      <c r="C214" s="103">
        <v>2021</v>
      </c>
      <c r="D214" s="104">
        <v>0.89200000000000002</v>
      </c>
      <c r="E214" s="104">
        <v>1</v>
      </c>
      <c r="F214" s="104">
        <v>1</v>
      </c>
      <c r="G214" s="105">
        <f t="shared" si="17"/>
        <v>0.89200000000000002</v>
      </c>
      <c r="H214" s="106" t="s">
        <v>48</v>
      </c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</row>
    <row r="215" spans="1:22" ht="24.75" customHeight="1" x14ac:dyDescent="0.25">
      <c r="A215" s="52"/>
      <c r="B215" s="120"/>
      <c r="C215" s="103">
        <v>2022</v>
      </c>
      <c r="D215" s="148" t="s">
        <v>169</v>
      </c>
      <c r="E215" s="149"/>
      <c r="F215" s="149"/>
      <c r="G215" s="149"/>
      <c r="H215" s="150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</row>
    <row r="216" spans="1:22" ht="18.75" customHeight="1" x14ac:dyDescent="0.25">
      <c r="A216" s="52"/>
      <c r="B216" s="120"/>
      <c r="C216" s="103">
        <v>2023</v>
      </c>
      <c r="D216" s="148" t="s">
        <v>170</v>
      </c>
      <c r="E216" s="149"/>
      <c r="F216" s="149"/>
      <c r="G216" s="149"/>
      <c r="H216" s="150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</row>
    <row r="217" spans="1:22" ht="18.75" customHeight="1" x14ac:dyDescent="0.25">
      <c r="A217" s="49" t="s">
        <v>123</v>
      </c>
      <c r="B217" s="155" t="s">
        <v>82</v>
      </c>
      <c r="C217" s="98" t="s">
        <v>108</v>
      </c>
      <c r="D217" s="99">
        <f>(D218+D219)/2</f>
        <v>0.997</v>
      </c>
      <c r="E217" s="99">
        <f t="shared" ref="E217" si="18">(E218+E219)/2</f>
        <v>1</v>
      </c>
      <c r="F217" s="99">
        <f>(F218+F219)/2</f>
        <v>0.97399999999999998</v>
      </c>
      <c r="G217" s="100">
        <f>D217*(0.5*E217+0.5*F217)</f>
        <v>0.984039</v>
      </c>
      <c r="H217" s="101" t="s">
        <v>49</v>
      </c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</row>
    <row r="218" spans="1:22" ht="18.75" customHeight="1" x14ac:dyDescent="0.25">
      <c r="A218" s="52"/>
      <c r="B218" s="120"/>
      <c r="C218" s="103">
        <v>2021</v>
      </c>
      <c r="D218" s="104">
        <v>0.99399999999999999</v>
      </c>
      <c r="E218" s="104">
        <v>1</v>
      </c>
      <c r="F218" s="104">
        <v>0.97299999999999998</v>
      </c>
      <c r="G218" s="105">
        <f>D218*(0.5*E218+0.5*F218)</f>
        <v>0.98058099999999992</v>
      </c>
      <c r="H218" s="106" t="s">
        <v>49</v>
      </c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</row>
    <row r="219" spans="1:22" ht="18.75" customHeight="1" x14ac:dyDescent="0.25">
      <c r="A219" s="52"/>
      <c r="B219" s="120"/>
      <c r="C219" s="103">
        <v>2022</v>
      </c>
      <c r="D219" s="104">
        <v>1</v>
      </c>
      <c r="E219" s="104">
        <v>1</v>
      </c>
      <c r="F219" s="104">
        <v>0.97499999999999998</v>
      </c>
      <c r="G219" s="105">
        <f>D219*(0.5*E219+0.5*F219)</f>
        <v>0.98750000000000004</v>
      </c>
      <c r="H219" s="106" t="s">
        <v>49</v>
      </c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</row>
    <row r="220" spans="1:22" ht="18.75" customHeight="1" x14ac:dyDescent="0.25">
      <c r="A220" s="52"/>
      <c r="B220" s="120"/>
      <c r="C220" s="103">
        <v>2023</v>
      </c>
      <c r="D220" s="148" t="s">
        <v>170</v>
      </c>
      <c r="E220" s="149"/>
      <c r="F220" s="149"/>
      <c r="G220" s="149"/>
      <c r="H220" s="150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</row>
    <row r="221" spans="1:22" s="48" customFormat="1" ht="18" customHeight="1" x14ac:dyDescent="0.25">
      <c r="A221" s="68" t="s">
        <v>77</v>
      </c>
      <c r="B221" s="123" t="s">
        <v>70</v>
      </c>
      <c r="C221" s="85" t="s">
        <v>108</v>
      </c>
      <c r="D221" s="86"/>
      <c r="E221" s="87"/>
      <c r="F221" s="88">
        <f>(F222+F223+F224)/3</f>
        <v>1</v>
      </c>
      <c r="G221" s="89">
        <f>0.8*(G225+G229)/2+0.2*F221</f>
        <v>0.9407947333333333</v>
      </c>
      <c r="H221" s="90" t="s">
        <v>48</v>
      </c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</row>
    <row r="222" spans="1:22" s="48" customFormat="1" ht="18" customHeight="1" x14ac:dyDescent="0.25">
      <c r="A222" s="112"/>
      <c r="B222" s="124"/>
      <c r="C222" s="93">
        <v>2021</v>
      </c>
      <c r="D222" s="66"/>
      <c r="E222" s="67"/>
      <c r="F222" s="94">
        <v>1</v>
      </c>
      <c r="G222" s="95">
        <f>0.8*(G226+G230)/2+0.2*F222</f>
        <v>0.97762199999999999</v>
      </c>
      <c r="H222" s="126" t="s">
        <v>49</v>
      </c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</row>
    <row r="223" spans="1:22" s="48" customFormat="1" ht="18" customHeight="1" x14ac:dyDescent="0.25">
      <c r="A223" s="112"/>
      <c r="B223" s="124"/>
      <c r="C223" s="93">
        <v>2022</v>
      </c>
      <c r="D223" s="66"/>
      <c r="E223" s="67"/>
      <c r="F223" s="94">
        <v>1</v>
      </c>
      <c r="G223" s="95">
        <f>0.8*(G227+G231)/2+0.2*F223</f>
        <v>0.91304000000000007</v>
      </c>
      <c r="H223" s="126" t="s">
        <v>48</v>
      </c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</row>
    <row r="224" spans="1:22" s="48" customFormat="1" ht="18" customHeight="1" x14ac:dyDescent="0.25">
      <c r="A224" s="112"/>
      <c r="B224" s="124"/>
      <c r="C224" s="93">
        <v>2023</v>
      </c>
      <c r="D224" s="66"/>
      <c r="E224" s="67"/>
      <c r="F224" s="94">
        <v>1</v>
      </c>
      <c r="G224" s="95">
        <f>0.8*(G228+G232)/2+0.2*F224</f>
        <v>0.93140000000000001</v>
      </c>
      <c r="H224" s="126" t="s">
        <v>48</v>
      </c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</row>
    <row r="225" spans="1:22" ht="17.25" customHeight="1" x14ac:dyDescent="0.25">
      <c r="A225" s="49" t="s">
        <v>78</v>
      </c>
      <c r="B225" s="97" t="s">
        <v>71</v>
      </c>
      <c r="C225" s="98" t="s">
        <v>108</v>
      </c>
      <c r="D225" s="99">
        <f>(D226+D227+D228)/3</f>
        <v>0.92699999999999994</v>
      </c>
      <c r="E225" s="99">
        <f>(E226+E227+E228)/3</f>
        <v>0.95833333333333337</v>
      </c>
      <c r="F225" s="99">
        <f>(F226+F227+F228)/3</f>
        <v>0.98266666666666669</v>
      </c>
      <c r="G225" s="100">
        <f>D225*(0.5*E225+0.5*F225)</f>
        <v>0.89965349999999999</v>
      </c>
      <c r="H225" s="127" t="s">
        <v>48</v>
      </c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</row>
    <row r="226" spans="1:22" ht="17.25" customHeight="1" x14ac:dyDescent="0.25">
      <c r="A226" s="108"/>
      <c r="B226" s="121"/>
      <c r="C226" s="103">
        <v>2021</v>
      </c>
      <c r="D226" s="104">
        <v>0.94499999999999995</v>
      </c>
      <c r="E226" s="104">
        <v>1</v>
      </c>
      <c r="F226" s="104">
        <v>0.998</v>
      </c>
      <c r="G226" s="105">
        <f t="shared" ref="G226:G232" si="19">D226*(0.5*E226+0.5*F226)</f>
        <v>0.94405499999999998</v>
      </c>
      <c r="H226" s="110" t="s">
        <v>48</v>
      </c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</row>
    <row r="227" spans="1:22" ht="17.25" customHeight="1" x14ac:dyDescent="0.25">
      <c r="A227" s="108"/>
      <c r="B227" s="121"/>
      <c r="C227" s="103">
        <v>2022</v>
      </c>
      <c r="D227" s="104">
        <v>0.876</v>
      </c>
      <c r="E227" s="104">
        <v>1</v>
      </c>
      <c r="F227" s="104">
        <v>0.95</v>
      </c>
      <c r="G227" s="105">
        <f t="shared" si="19"/>
        <v>0.85409999999999997</v>
      </c>
      <c r="H227" s="110" t="s">
        <v>48</v>
      </c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</row>
    <row r="228" spans="1:22" ht="17.25" customHeight="1" x14ac:dyDescent="0.25">
      <c r="A228" s="108"/>
      <c r="B228" s="121"/>
      <c r="C228" s="103">
        <v>2023</v>
      </c>
      <c r="D228" s="104">
        <v>0.96</v>
      </c>
      <c r="E228" s="104">
        <v>0.875</v>
      </c>
      <c r="F228" s="104">
        <v>1</v>
      </c>
      <c r="G228" s="105">
        <f t="shared" si="19"/>
        <v>0.89999999999999991</v>
      </c>
      <c r="H228" s="110" t="s">
        <v>48</v>
      </c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</row>
    <row r="229" spans="1:22" ht="18" customHeight="1" x14ac:dyDescent="0.25">
      <c r="A229" s="49" t="s">
        <v>140</v>
      </c>
      <c r="B229" s="107" t="s">
        <v>72</v>
      </c>
      <c r="C229" s="98" t="s">
        <v>108</v>
      </c>
      <c r="D229" s="99">
        <f>(D230+D232+D231)/3</f>
        <v>1</v>
      </c>
      <c r="E229" s="99">
        <f>(E230+E232+E231)/3</f>
        <v>0.90466666666666662</v>
      </c>
      <c r="F229" s="99">
        <f>(F230+F231+F232)/3</f>
        <v>1</v>
      </c>
      <c r="G229" s="100">
        <f>D229*(0.5*E229+0.5*F229)</f>
        <v>0.95233333333333325</v>
      </c>
      <c r="H229" s="127" t="s">
        <v>49</v>
      </c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</row>
    <row r="230" spans="1:22" ht="18" customHeight="1" x14ac:dyDescent="0.25">
      <c r="A230" s="52"/>
      <c r="B230" s="111"/>
      <c r="C230" s="103">
        <v>2021</v>
      </c>
      <c r="D230" s="104">
        <v>1</v>
      </c>
      <c r="E230" s="104">
        <v>1</v>
      </c>
      <c r="F230" s="104">
        <v>1</v>
      </c>
      <c r="G230" s="105">
        <f t="shared" si="19"/>
        <v>1</v>
      </c>
      <c r="H230" s="110" t="s">
        <v>49</v>
      </c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</row>
    <row r="231" spans="1:22" ht="18" customHeight="1" x14ac:dyDescent="0.25">
      <c r="A231" s="52"/>
      <c r="B231" s="111"/>
      <c r="C231" s="103">
        <v>2022</v>
      </c>
      <c r="D231" s="104">
        <v>1</v>
      </c>
      <c r="E231" s="104">
        <v>0.85699999999999998</v>
      </c>
      <c r="F231" s="104">
        <v>1</v>
      </c>
      <c r="G231" s="105">
        <f t="shared" ref="G231" si="20">D231*(0.5*E231+0.5*F231)</f>
        <v>0.92849999999999999</v>
      </c>
      <c r="H231" s="110" t="s">
        <v>125</v>
      </c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</row>
    <row r="232" spans="1:22" ht="18" customHeight="1" x14ac:dyDescent="0.25">
      <c r="A232" s="52"/>
      <c r="B232" s="111"/>
      <c r="C232" s="103">
        <v>2023</v>
      </c>
      <c r="D232" s="104">
        <v>1</v>
      </c>
      <c r="E232" s="104">
        <v>0.85699999999999998</v>
      </c>
      <c r="F232" s="104">
        <v>1</v>
      </c>
      <c r="G232" s="105">
        <f t="shared" si="19"/>
        <v>0.92849999999999999</v>
      </c>
      <c r="H232" s="110" t="s">
        <v>48</v>
      </c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</row>
    <row r="233" spans="1:22" s="48" customFormat="1" ht="18.75" customHeight="1" x14ac:dyDescent="0.25">
      <c r="A233" s="68" t="s">
        <v>101</v>
      </c>
      <c r="B233" s="84" t="s">
        <v>126</v>
      </c>
      <c r="C233" s="85" t="s">
        <v>108</v>
      </c>
      <c r="D233" s="156">
        <f>(D234+D236+D235)/3</f>
        <v>0.93666666666666665</v>
      </c>
      <c r="E233" s="156">
        <f>(E234+E236+E235)/3</f>
        <v>0.96</v>
      </c>
      <c r="F233" s="156">
        <f>(F234+F235+F236)/3</f>
        <v>0.98999999999999988</v>
      </c>
      <c r="G233" s="157">
        <f>D233*(0.5*E233+0.5*F233)</f>
        <v>0.9132499999999999</v>
      </c>
      <c r="H233" s="158" t="s">
        <v>48</v>
      </c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</row>
    <row r="234" spans="1:22" s="48" customFormat="1" ht="15" customHeight="1" x14ac:dyDescent="0.25">
      <c r="A234" s="69"/>
      <c r="B234" s="118"/>
      <c r="C234" s="93">
        <v>2021</v>
      </c>
      <c r="D234" s="94">
        <v>0.81799999999999995</v>
      </c>
      <c r="E234" s="94">
        <v>0.88</v>
      </c>
      <c r="F234" s="94">
        <v>0.97</v>
      </c>
      <c r="G234" s="95">
        <f t="shared" ref="G234:G236" si="21">D234*(0.5*E234+0.5*F234)</f>
        <v>0.75665000000000004</v>
      </c>
      <c r="H234" s="139" t="s">
        <v>48</v>
      </c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</row>
    <row r="235" spans="1:22" s="48" customFormat="1" ht="15.75" customHeight="1" x14ac:dyDescent="0.25">
      <c r="A235" s="69"/>
      <c r="B235" s="118"/>
      <c r="C235" s="93">
        <v>2022</v>
      </c>
      <c r="D235" s="94">
        <v>0.99199999999999999</v>
      </c>
      <c r="E235" s="94">
        <v>1</v>
      </c>
      <c r="F235" s="94">
        <v>1</v>
      </c>
      <c r="G235" s="95">
        <f t="shared" si="21"/>
        <v>0.99199999999999999</v>
      </c>
      <c r="H235" s="139" t="s">
        <v>49</v>
      </c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</row>
    <row r="236" spans="1:22" s="48" customFormat="1" ht="17.25" customHeight="1" x14ac:dyDescent="0.25">
      <c r="A236" s="69"/>
      <c r="B236" s="118"/>
      <c r="C236" s="93">
        <v>2023</v>
      </c>
      <c r="D236" s="94">
        <v>1</v>
      </c>
      <c r="E236" s="94">
        <v>1</v>
      </c>
      <c r="F236" s="94">
        <v>1</v>
      </c>
      <c r="G236" s="95">
        <f t="shared" si="21"/>
        <v>1</v>
      </c>
      <c r="H236" s="139" t="s">
        <v>49</v>
      </c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</row>
    <row r="237" spans="1:22" s="48" customFormat="1" ht="18" customHeight="1" x14ac:dyDescent="0.25">
      <c r="A237" s="68" t="s">
        <v>105</v>
      </c>
      <c r="B237" s="123" t="s">
        <v>102</v>
      </c>
      <c r="C237" s="85" t="s">
        <v>108</v>
      </c>
      <c r="D237" s="86"/>
      <c r="E237" s="87"/>
      <c r="F237" s="88">
        <f>(F238+F239+F240)/3</f>
        <v>0.66666666666666663</v>
      </c>
      <c r="G237" s="89">
        <f>0.8*(G241+G245)/2+0.2*F237</f>
        <v>0.76741633333333337</v>
      </c>
      <c r="H237" s="90" t="s">
        <v>48</v>
      </c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</row>
    <row r="238" spans="1:22" s="48" customFormat="1" ht="18" customHeight="1" x14ac:dyDescent="0.25">
      <c r="A238" s="112"/>
      <c r="B238" s="124"/>
      <c r="C238" s="93">
        <v>2021</v>
      </c>
      <c r="D238" s="66"/>
      <c r="E238" s="67"/>
      <c r="F238" s="94">
        <v>1</v>
      </c>
      <c r="G238" s="95">
        <f>0.8*(G242+G246)/2+0.2*F238</f>
        <v>0.8543752</v>
      </c>
      <c r="H238" s="126" t="s">
        <v>48</v>
      </c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</row>
    <row r="239" spans="1:22" s="48" customFormat="1" ht="18" customHeight="1" x14ac:dyDescent="0.25">
      <c r="A239" s="112"/>
      <c r="B239" s="124"/>
      <c r="C239" s="93">
        <v>2022</v>
      </c>
      <c r="D239" s="66"/>
      <c r="E239" s="67"/>
      <c r="F239" s="94">
        <v>0</v>
      </c>
      <c r="G239" s="95">
        <f>0.8*(G243+G247)/2+0.2*F239</f>
        <v>0.62054779999999998</v>
      </c>
      <c r="H239" s="126" t="s">
        <v>51</v>
      </c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</row>
    <row r="240" spans="1:22" s="48" customFormat="1" ht="23.25" customHeight="1" x14ac:dyDescent="0.25">
      <c r="A240" s="112"/>
      <c r="B240" s="124"/>
      <c r="C240" s="93">
        <v>2023</v>
      </c>
      <c r="D240" s="66"/>
      <c r="E240" s="67"/>
      <c r="F240" s="94">
        <v>1</v>
      </c>
      <c r="G240" s="95">
        <f>0.8*(G244+G248)/2+0.2*F240</f>
        <v>0.80483360000000004</v>
      </c>
      <c r="H240" s="126" t="s">
        <v>48</v>
      </c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</row>
    <row r="241" spans="1:22" ht="17.25" customHeight="1" x14ac:dyDescent="0.25">
      <c r="A241" s="49" t="s">
        <v>106</v>
      </c>
      <c r="B241" s="97" t="s">
        <v>103</v>
      </c>
      <c r="C241" s="98" t="s">
        <v>108</v>
      </c>
      <c r="D241" s="99">
        <f>(D242+0.986+D244)/3</f>
        <v>0.88966666666666672</v>
      </c>
      <c r="E241" s="99">
        <f>(E242+E243+E244)/3</f>
        <v>0.63966666666666661</v>
      </c>
      <c r="F241" s="99">
        <f>(F242+F243+F244)/3</f>
        <v>0.97366666666666679</v>
      </c>
      <c r="G241" s="100">
        <f>D241*(0.5*E241+0.5*F241)</f>
        <v>0.71766444444444444</v>
      </c>
      <c r="H241" s="127" t="s">
        <v>48</v>
      </c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</row>
    <row r="242" spans="1:22" ht="17.25" customHeight="1" x14ac:dyDescent="0.25">
      <c r="A242" s="108"/>
      <c r="B242" s="121"/>
      <c r="C242" s="103">
        <v>2021</v>
      </c>
      <c r="D242" s="104">
        <v>0.80800000000000005</v>
      </c>
      <c r="E242" s="104">
        <v>0.85199999999999998</v>
      </c>
      <c r="F242" s="104">
        <v>0.99199999999999999</v>
      </c>
      <c r="G242" s="105">
        <f>D242*(0.5*E242+0.5*F242)+0.01</f>
        <v>0.75497599999999998</v>
      </c>
      <c r="H242" s="110" t="s">
        <v>48</v>
      </c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</row>
    <row r="243" spans="1:22" ht="17.25" customHeight="1" x14ac:dyDescent="0.25">
      <c r="A243" s="108"/>
      <c r="B243" s="121"/>
      <c r="C243" s="103">
        <v>2022</v>
      </c>
      <c r="D243" s="104">
        <v>0.91400000000000003</v>
      </c>
      <c r="E243" s="104">
        <v>0.5</v>
      </c>
      <c r="F243" s="104">
        <v>1</v>
      </c>
      <c r="G243" s="105">
        <f>D243*(0.5*E243+0.5*F243)</f>
        <v>0.6855</v>
      </c>
      <c r="H243" s="110" t="s">
        <v>51</v>
      </c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</row>
    <row r="244" spans="1:22" ht="17.25" customHeight="1" x14ac:dyDescent="0.25">
      <c r="A244" s="108"/>
      <c r="B244" s="121"/>
      <c r="C244" s="103">
        <v>2023</v>
      </c>
      <c r="D244" s="104">
        <v>0.875</v>
      </c>
      <c r="E244" s="104">
        <v>0.56699999999999995</v>
      </c>
      <c r="F244" s="104">
        <v>0.92900000000000005</v>
      </c>
      <c r="G244" s="105">
        <f>D244*(0.5*E244+0.5*F244)</f>
        <v>0.65449999999999997</v>
      </c>
      <c r="H244" s="110" t="s">
        <v>51</v>
      </c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</row>
    <row r="245" spans="1:22" ht="18" customHeight="1" x14ac:dyDescent="0.25">
      <c r="A245" s="49" t="s">
        <v>128</v>
      </c>
      <c r="B245" s="107" t="s">
        <v>104</v>
      </c>
      <c r="C245" s="98" t="s">
        <v>108</v>
      </c>
      <c r="D245" s="99">
        <f>(0.996+0.989+0.99)/3</f>
        <v>0.99166666666666659</v>
      </c>
      <c r="E245" s="99">
        <f>(E246+E248+E247)/3</f>
        <v>0.88133333333333341</v>
      </c>
      <c r="F245" s="99">
        <f>(F246+F247+F248)/3</f>
        <v>0.86833333333333329</v>
      </c>
      <c r="G245" s="100">
        <f>D245*(0.5*E245+0.5*F245)</f>
        <v>0.86754305555555555</v>
      </c>
      <c r="H245" s="127" t="s">
        <v>48</v>
      </c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</row>
    <row r="246" spans="1:22" ht="18" customHeight="1" x14ac:dyDescent="0.25">
      <c r="A246" s="52"/>
      <c r="B246" s="111"/>
      <c r="C246" s="103">
        <v>2021</v>
      </c>
      <c r="D246" s="104" t="s">
        <v>141</v>
      </c>
      <c r="E246" s="104">
        <v>0.91700000000000004</v>
      </c>
      <c r="F246" s="104">
        <v>0.85199999999999998</v>
      </c>
      <c r="G246" s="105">
        <f>0.996*(0.5*E246+0.5*F246)</f>
        <v>0.88096200000000002</v>
      </c>
      <c r="H246" s="110" t="s">
        <v>182</v>
      </c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</row>
    <row r="247" spans="1:22" ht="18" customHeight="1" x14ac:dyDescent="0.25">
      <c r="A247" s="52"/>
      <c r="B247" s="111"/>
      <c r="C247" s="103">
        <v>2022</v>
      </c>
      <c r="D247" s="104" t="s">
        <v>127</v>
      </c>
      <c r="E247" s="104">
        <v>0.81799999999999995</v>
      </c>
      <c r="F247" s="104">
        <v>0.93300000000000005</v>
      </c>
      <c r="G247" s="105">
        <f>0.989*(0.5*E247+0.5*F247)</f>
        <v>0.86586949999999996</v>
      </c>
      <c r="H247" s="110" t="s">
        <v>182</v>
      </c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</row>
    <row r="248" spans="1:22" ht="18" customHeight="1" x14ac:dyDescent="0.25">
      <c r="A248" s="52"/>
      <c r="B248" s="111"/>
      <c r="C248" s="103">
        <v>2023</v>
      </c>
      <c r="D248" s="104">
        <v>0.99</v>
      </c>
      <c r="E248" s="104">
        <v>0.90900000000000003</v>
      </c>
      <c r="F248" s="104">
        <v>0.82</v>
      </c>
      <c r="G248" s="105">
        <f>0.992*(0.5*E248+0.5*F248)</f>
        <v>0.85758400000000001</v>
      </c>
      <c r="H248" s="110" t="s">
        <v>48</v>
      </c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</row>
    <row r="249" spans="1:22" s="48" customFormat="1" ht="15.75" x14ac:dyDescent="0.25">
      <c r="A249" s="68" t="s">
        <v>129</v>
      </c>
      <c r="B249" s="84" t="s">
        <v>85</v>
      </c>
      <c r="C249" s="85" t="s">
        <v>108</v>
      </c>
      <c r="D249" s="86"/>
      <c r="E249" s="87"/>
      <c r="F249" s="88">
        <v>1</v>
      </c>
      <c r="G249" s="89">
        <f>0.8*G253+0.2*F249</f>
        <v>0.99253333333333327</v>
      </c>
      <c r="H249" s="90" t="s">
        <v>49</v>
      </c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</row>
    <row r="250" spans="1:22" s="48" customFormat="1" x14ac:dyDescent="0.25">
      <c r="A250" s="69"/>
      <c r="B250" s="118"/>
      <c r="C250" s="93">
        <v>2021</v>
      </c>
      <c r="D250" s="66"/>
      <c r="E250" s="67"/>
      <c r="F250" s="94">
        <v>1</v>
      </c>
      <c r="G250" s="95">
        <f>0.8*(G254)/1+0.2*F250</f>
        <v>0.97760000000000002</v>
      </c>
      <c r="H250" s="126" t="s">
        <v>49</v>
      </c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</row>
    <row r="251" spans="1:22" s="48" customFormat="1" x14ac:dyDescent="0.25">
      <c r="A251" s="69"/>
      <c r="B251" s="118"/>
      <c r="C251" s="93">
        <v>2022</v>
      </c>
      <c r="D251" s="66"/>
      <c r="E251" s="67"/>
      <c r="F251" s="94">
        <v>1</v>
      </c>
      <c r="G251" s="95">
        <f>0.8*(G255)/1+0.2*F251</f>
        <v>1</v>
      </c>
      <c r="H251" s="126" t="s">
        <v>49</v>
      </c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</row>
    <row r="252" spans="1:22" s="48" customFormat="1" x14ac:dyDescent="0.25">
      <c r="A252" s="69"/>
      <c r="B252" s="118"/>
      <c r="C252" s="93">
        <v>2023</v>
      </c>
      <c r="D252" s="66"/>
      <c r="E252" s="67"/>
      <c r="F252" s="94">
        <v>1</v>
      </c>
      <c r="G252" s="95">
        <f>0.8*(G256)/1+0.2*F252</f>
        <v>1</v>
      </c>
      <c r="H252" s="126" t="s">
        <v>49</v>
      </c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</row>
    <row r="253" spans="1:22" x14ac:dyDescent="0.25">
      <c r="A253" s="151" t="s">
        <v>130</v>
      </c>
      <c r="B253" s="159" t="s">
        <v>86</v>
      </c>
      <c r="C253" s="98" t="s">
        <v>108</v>
      </c>
      <c r="D253" s="160">
        <f>(1+D255+D256)/3</f>
        <v>1</v>
      </c>
      <c r="E253" s="160">
        <f>(E254+E255+E256)/3</f>
        <v>1</v>
      </c>
      <c r="F253" s="160">
        <f>(F254+F255+F256)/3</f>
        <v>0.98133333333333328</v>
      </c>
      <c r="G253" s="161">
        <f>D253*(0.5*E253+0.5*F253)</f>
        <v>0.99066666666666658</v>
      </c>
      <c r="H253" s="128" t="s">
        <v>49</v>
      </c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</row>
    <row r="254" spans="1:22" x14ac:dyDescent="0.25">
      <c r="A254" s="153"/>
      <c r="B254" s="162"/>
      <c r="C254" s="103">
        <v>2021</v>
      </c>
      <c r="D254" s="163">
        <v>1</v>
      </c>
      <c r="E254" s="163">
        <v>1</v>
      </c>
      <c r="F254" s="163">
        <v>0.94399999999999995</v>
      </c>
      <c r="G254" s="164">
        <f>1*(0.5*E254+0.5*F254)</f>
        <v>0.97199999999999998</v>
      </c>
      <c r="H254" s="165" t="s">
        <v>49</v>
      </c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</row>
    <row r="255" spans="1:22" x14ac:dyDescent="0.25">
      <c r="A255" s="153"/>
      <c r="B255" s="162"/>
      <c r="C255" s="103">
        <v>2022</v>
      </c>
      <c r="D255" s="163">
        <v>1</v>
      </c>
      <c r="E255" s="163">
        <v>1</v>
      </c>
      <c r="F255" s="163">
        <v>1</v>
      </c>
      <c r="G255" s="164">
        <f>D255*(0.5*E255+0.5*F255)</f>
        <v>1</v>
      </c>
      <c r="H255" s="165" t="s">
        <v>49</v>
      </c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</row>
    <row r="256" spans="1:22" x14ac:dyDescent="0.25">
      <c r="A256" s="153"/>
      <c r="B256" s="162"/>
      <c r="C256" s="103">
        <v>2023</v>
      </c>
      <c r="D256" s="163">
        <v>1</v>
      </c>
      <c r="E256" s="163">
        <v>1</v>
      </c>
      <c r="F256" s="163">
        <v>1</v>
      </c>
      <c r="G256" s="164">
        <f>D256*(0.5*E256+0.5*F256)</f>
        <v>1</v>
      </c>
      <c r="H256" s="165" t="s">
        <v>49</v>
      </c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</row>
    <row r="257" spans="1:22" x14ac:dyDescent="0.25">
      <c r="A257" s="70"/>
      <c r="B257" s="71"/>
      <c r="C257" s="72"/>
      <c r="D257" s="73"/>
      <c r="E257" s="73"/>
      <c r="F257" s="73"/>
      <c r="G257" s="74"/>
      <c r="H257" s="75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</row>
    <row r="258" spans="1:22" x14ac:dyDescent="0.25">
      <c r="A258" s="70"/>
      <c r="B258" s="71"/>
      <c r="C258" s="72"/>
      <c r="D258" s="73"/>
      <c r="E258" s="73"/>
      <c r="F258" s="73"/>
      <c r="G258" s="74"/>
      <c r="H258" s="75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</row>
    <row r="259" spans="1:22" x14ac:dyDescent="0.25">
      <c r="A259" s="70"/>
      <c r="B259" s="71"/>
      <c r="C259" s="72"/>
      <c r="D259" s="73"/>
      <c r="E259" s="73"/>
      <c r="F259" s="73"/>
      <c r="G259" s="74"/>
      <c r="H259" s="75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</row>
    <row r="260" spans="1:22" x14ac:dyDescent="0.25">
      <c r="A260" s="70"/>
      <c r="B260" s="71"/>
      <c r="C260" s="72"/>
      <c r="D260" s="73"/>
      <c r="E260" s="73"/>
      <c r="F260" s="73"/>
      <c r="G260" s="74"/>
      <c r="H260" s="75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</row>
    <row r="261" spans="1:22" x14ac:dyDescent="0.25">
      <c r="A261" s="70"/>
      <c r="B261" s="71"/>
      <c r="C261" s="72"/>
      <c r="D261" s="73"/>
      <c r="E261" s="73"/>
      <c r="F261" s="73"/>
      <c r="G261" s="74"/>
      <c r="H261" s="75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</row>
    <row r="262" spans="1:22" x14ac:dyDescent="0.25">
      <c r="A262" s="70"/>
      <c r="B262" s="71"/>
      <c r="C262" s="72"/>
      <c r="D262" s="73"/>
      <c r="E262" s="73"/>
      <c r="F262" s="73"/>
      <c r="G262" s="74"/>
      <c r="H262" s="75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</row>
    <row r="263" spans="1:22" x14ac:dyDescent="0.25">
      <c r="A263" s="70"/>
      <c r="B263" s="71"/>
      <c r="C263" s="72"/>
      <c r="D263" s="73"/>
      <c r="E263" s="73"/>
      <c r="F263" s="73"/>
      <c r="G263" s="74"/>
      <c r="H263" s="75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</row>
    <row r="264" spans="1:22" x14ac:dyDescent="0.25">
      <c r="A264" s="70"/>
      <c r="B264" s="71"/>
      <c r="C264" s="72"/>
      <c r="D264" s="73"/>
      <c r="E264" s="73"/>
      <c r="F264" s="73"/>
      <c r="G264" s="74"/>
      <c r="H264" s="75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</row>
    <row r="265" spans="1:22" x14ac:dyDescent="0.25">
      <c r="A265" s="70"/>
      <c r="B265" s="71"/>
      <c r="C265" s="72"/>
      <c r="D265" s="73"/>
      <c r="E265" s="73"/>
      <c r="F265" s="73"/>
      <c r="G265" s="74"/>
      <c r="H265" s="75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</row>
    <row r="266" spans="1:22" x14ac:dyDescent="0.25">
      <c r="A266" s="70"/>
      <c r="B266" s="71"/>
      <c r="C266" s="72"/>
      <c r="D266" s="73"/>
      <c r="E266" s="73"/>
      <c r="F266" s="73"/>
      <c r="G266" s="74"/>
      <c r="H266" s="75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x14ac:dyDescent="0.25">
      <c r="A267" s="70"/>
      <c r="B267" s="71"/>
      <c r="C267" s="72"/>
      <c r="D267" s="73"/>
      <c r="E267" s="73"/>
      <c r="F267" s="73"/>
      <c r="G267" s="74"/>
      <c r="H267" s="75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</row>
    <row r="268" spans="1:22" x14ac:dyDescent="0.25">
      <c r="A268" s="70"/>
      <c r="B268" s="71"/>
      <c r="C268" s="72"/>
      <c r="D268" s="73"/>
      <c r="E268" s="73"/>
      <c r="F268" s="73"/>
      <c r="G268" s="74"/>
      <c r="H268" s="75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x14ac:dyDescent="0.25">
      <c r="A269" s="70"/>
      <c r="B269" s="71"/>
      <c r="C269" s="72"/>
      <c r="D269" s="73"/>
      <c r="E269" s="73"/>
      <c r="F269" s="73"/>
      <c r="G269" s="74"/>
      <c r="H269" s="75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</row>
    <row r="270" spans="1:22" x14ac:dyDescent="0.25">
      <c r="A270" s="70"/>
      <c r="B270" s="71"/>
      <c r="C270" s="72"/>
      <c r="D270" s="73"/>
      <c r="E270" s="73"/>
      <c r="F270" s="73"/>
      <c r="G270" s="74"/>
      <c r="H270" s="75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</row>
    <row r="271" spans="1:22" x14ac:dyDescent="0.25">
      <c r="A271" s="70"/>
      <c r="B271" s="71"/>
      <c r="C271" s="72"/>
      <c r="D271" s="73"/>
      <c r="E271" s="73"/>
      <c r="F271" s="73"/>
      <c r="G271" s="74"/>
      <c r="H271" s="75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</row>
    <row r="272" spans="1:22" x14ac:dyDescent="0.25">
      <c r="A272" s="70"/>
      <c r="B272" s="71"/>
      <c r="C272" s="72"/>
      <c r="D272" s="73"/>
      <c r="E272" s="73"/>
      <c r="F272" s="73"/>
      <c r="G272" s="74"/>
      <c r="H272" s="75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</row>
    <row r="273" spans="1:22" x14ac:dyDescent="0.25">
      <c r="A273" s="70"/>
      <c r="B273" s="71"/>
      <c r="C273" s="72"/>
      <c r="D273" s="73"/>
      <c r="E273" s="73"/>
      <c r="F273" s="73"/>
      <c r="G273" s="74"/>
      <c r="H273" s="75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</row>
    <row r="274" spans="1:22" x14ac:dyDescent="0.25">
      <c r="A274" s="70"/>
      <c r="B274" s="71"/>
      <c r="C274" s="72"/>
      <c r="D274" s="73"/>
      <c r="E274" s="73"/>
      <c r="F274" s="73"/>
      <c r="G274" s="74"/>
      <c r="H274" s="75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x14ac:dyDescent="0.25">
      <c r="A275" s="70"/>
      <c r="B275" s="71"/>
      <c r="C275" s="72"/>
      <c r="D275" s="73"/>
      <c r="E275" s="73"/>
      <c r="F275" s="73"/>
      <c r="G275" s="74"/>
      <c r="H275" s="75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</row>
    <row r="276" spans="1:22" x14ac:dyDescent="0.25">
      <c r="A276" s="70"/>
      <c r="B276" s="71"/>
      <c r="C276" s="72"/>
      <c r="D276" s="73"/>
      <c r="E276" s="73"/>
      <c r="F276" s="73"/>
      <c r="G276" s="74"/>
      <c r="H276" s="75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x14ac:dyDescent="0.25">
      <c r="A277" s="70"/>
      <c r="B277" s="71"/>
      <c r="C277" s="72"/>
      <c r="D277" s="73"/>
      <c r="E277" s="73"/>
      <c r="F277" s="73"/>
      <c r="G277" s="74"/>
      <c r="H277" s="75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</row>
    <row r="278" spans="1:22" x14ac:dyDescent="0.25">
      <c r="A278" s="70"/>
      <c r="B278" s="71"/>
      <c r="C278" s="72"/>
      <c r="D278" s="73"/>
      <c r="E278" s="73"/>
      <c r="F278" s="73"/>
      <c r="G278" s="74"/>
      <c r="H278" s="75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x14ac:dyDescent="0.25">
      <c r="A279" s="70"/>
      <c r="B279" s="71"/>
      <c r="C279" s="72"/>
      <c r="D279" s="73"/>
      <c r="E279" s="73"/>
      <c r="F279" s="73"/>
      <c r="G279" s="74"/>
      <c r="H279" s="75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</row>
    <row r="280" spans="1:22" x14ac:dyDescent="0.25">
      <c r="A280" s="70"/>
      <c r="B280" s="71"/>
      <c r="C280" s="72"/>
      <c r="D280" s="73"/>
      <c r="E280" s="73"/>
      <c r="F280" s="73"/>
      <c r="G280" s="74"/>
      <c r="H280" s="75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1" spans="1:22" x14ac:dyDescent="0.25">
      <c r="A281" s="70"/>
      <c r="B281" s="71"/>
      <c r="C281" s="72"/>
      <c r="D281" s="73"/>
      <c r="E281" s="73"/>
      <c r="F281" s="73"/>
      <c r="G281" s="74"/>
      <c r="H281" s="75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</row>
    <row r="282" spans="1:22" x14ac:dyDescent="0.25">
      <c r="A282" s="70"/>
      <c r="B282" s="71"/>
      <c r="C282" s="72"/>
      <c r="D282" s="73"/>
      <c r="E282" s="73"/>
      <c r="F282" s="73"/>
      <c r="G282" s="74"/>
      <c r="H282" s="75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</row>
    <row r="283" spans="1:22" x14ac:dyDescent="0.25">
      <c r="A283" s="70"/>
      <c r="B283" s="71"/>
      <c r="C283" s="72"/>
      <c r="D283" s="73"/>
      <c r="E283" s="73"/>
      <c r="F283" s="73"/>
      <c r="G283" s="74"/>
      <c r="H283" s="75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</row>
    <row r="284" spans="1:22" x14ac:dyDescent="0.25">
      <c r="A284" s="70"/>
      <c r="B284" s="71"/>
      <c r="C284" s="72"/>
      <c r="D284" s="73"/>
      <c r="E284" s="73"/>
      <c r="F284" s="73"/>
      <c r="G284" s="74"/>
      <c r="H284" s="75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</row>
    <row r="285" spans="1:22" x14ac:dyDescent="0.25">
      <c r="A285" s="70"/>
      <c r="B285" s="71"/>
      <c r="C285" s="72"/>
      <c r="D285" s="73"/>
      <c r="E285" s="73"/>
      <c r="F285" s="73"/>
      <c r="G285" s="74"/>
      <c r="H285" s="75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</row>
    <row r="286" spans="1:22" x14ac:dyDescent="0.25">
      <c r="A286" s="70"/>
      <c r="B286" s="71"/>
      <c r="C286" s="72"/>
      <c r="D286" s="73"/>
      <c r="E286" s="73"/>
      <c r="F286" s="73"/>
      <c r="G286" s="74"/>
      <c r="H286" s="75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</row>
    <row r="287" spans="1:22" x14ac:dyDescent="0.25">
      <c r="A287" s="70"/>
      <c r="B287" s="71"/>
      <c r="C287" s="72"/>
      <c r="D287" s="73"/>
      <c r="E287" s="73"/>
      <c r="F287" s="73"/>
      <c r="G287" s="74"/>
      <c r="H287" s="75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</row>
    <row r="288" spans="1:22" x14ac:dyDescent="0.25">
      <c r="A288" s="70"/>
      <c r="B288" s="71"/>
      <c r="C288" s="72"/>
      <c r="D288" s="73"/>
      <c r="E288" s="73"/>
      <c r="F288" s="73"/>
      <c r="G288" s="74"/>
      <c r="H288" s="75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</row>
    <row r="289" spans="1:22" x14ac:dyDescent="0.25">
      <c r="A289" s="70"/>
      <c r="B289" s="71"/>
      <c r="C289" s="72"/>
      <c r="D289" s="73"/>
      <c r="E289" s="73"/>
      <c r="F289" s="73"/>
      <c r="G289" s="74"/>
      <c r="H289" s="75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</row>
    <row r="290" spans="1:22" x14ac:dyDescent="0.25">
      <c r="A290" s="70"/>
      <c r="B290" s="71"/>
      <c r="C290" s="72"/>
      <c r="D290" s="73"/>
      <c r="E290" s="73"/>
      <c r="F290" s="73"/>
      <c r="G290" s="74"/>
      <c r="H290" s="75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</row>
    <row r="291" spans="1:22" x14ac:dyDescent="0.25">
      <c r="A291" s="70"/>
      <c r="B291" s="71"/>
      <c r="C291" s="72"/>
      <c r="D291" s="73"/>
      <c r="E291" s="73"/>
      <c r="F291" s="73"/>
      <c r="G291" s="74"/>
      <c r="H291" s="75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</row>
    <row r="292" spans="1:22" x14ac:dyDescent="0.25">
      <c r="A292" s="70"/>
      <c r="B292" s="71"/>
      <c r="C292" s="72"/>
      <c r="D292" s="73"/>
      <c r="E292" s="73"/>
      <c r="F292" s="73"/>
      <c r="G292" s="74"/>
      <c r="H292" s="75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</row>
    <row r="293" spans="1:22" x14ac:dyDescent="0.25">
      <c r="A293" s="70"/>
      <c r="B293" s="71"/>
      <c r="C293" s="72"/>
      <c r="D293" s="73"/>
      <c r="E293" s="73"/>
      <c r="F293" s="73"/>
      <c r="G293" s="74"/>
      <c r="H293" s="75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</row>
    <row r="294" spans="1:22" x14ac:dyDescent="0.25">
      <c r="A294" s="70"/>
      <c r="B294" s="71"/>
      <c r="C294" s="72"/>
      <c r="D294" s="73"/>
      <c r="E294" s="73"/>
      <c r="F294" s="73"/>
      <c r="G294" s="74"/>
      <c r="H294" s="75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</row>
    <row r="295" spans="1:22" x14ac:dyDescent="0.25">
      <c r="A295" s="70"/>
      <c r="B295" s="71"/>
      <c r="C295" s="72"/>
      <c r="D295" s="73"/>
      <c r="E295" s="73"/>
      <c r="F295" s="73"/>
      <c r="G295" s="74"/>
      <c r="H295" s="75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</row>
    <row r="296" spans="1:22" x14ac:dyDescent="0.25">
      <c r="A296" s="70"/>
      <c r="B296" s="71"/>
      <c r="C296" s="72"/>
      <c r="D296" s="73"/>
      <c r="E296" s="73"/>
      <c r="F296" s="73"/>
      <c r="G296" s="74"/>
      <c r="H296" s="75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</row>
    <row r="297" spans="1:22" x14ac:dyDescent="0.25">
      <c r="A297" s="70"/>
      <c r="B297" s="71"/>
      <c r="C297" s="72"/>
      <c r="D297" s="73"/>
      <c r="E297" s="73"/>
      <c r="F297" s="73"/>
      <c r="G297" s="74"/>
      <c r="H297" s="75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</row>
    <row r="298" spans="1:22" x14ac:dyDescent="0.25">
      <c r="A298" s="70"/>
      <c r="B298" s="71"/>
      <c r="C298" s="72"/>
      <c r="D298" s="73"/>
      <c r="E298" s="73"/>
      <c r="F298" s="73"/>
      <c r="G298" s="74"/>
      <c r="H298" s="75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</row>
    <row r="299" spans="1:22" x14ac:dyDescent="0.25">
      <c r="A299" s="70"/>
      <c r="B299" s="71"/>
      <c r="C299" s="72"/>
      <c r="D299" s="73"/>
      <c r="E299" s="73"/>
      <c r="F299" s="73"/>
      <c r="G299" s="74"/>
      <c r="H299" s="75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</row>
    <row r="300" spans="1:22" x14ac:dyDescent="0.25">
      <c r="A300" s="70"/>
      <c r="B300" s="71"/>
      <c r="C300" s="72"/>
      <c r="D300" s="73"/>
      <c r="E300" s="73"/>
      <c r="F300" s="73"/>
      <c r="G300" s="74"/>
      <c r="H300" s="75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x14ac:dyDescent="0.25">
      <c r="A301" s="70"/>
      <c r="B301" s="71"/>
      <c r="C301" s="72"/>
      <c r="D301" s="73"/>
      <c r="E301" s="73"/>
      <c r="F301" s="73"/>
      <c r="G301" s="74"/>
      <c r="H301" s="75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</row>
    <row r="302" spans="1:22" x14ac:dyDescent="0.25">
      <c r="A302" s="70"/>
      <c r="B302" s="71"/>
      <c r="C302" s="72"/>
      <c r="D302" s="73"/>
      <c r="E302" s="73"/>
      <c r="F302" s="73"/>
      <c r="G302" s="74"/>
      <c r="H302" s="75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x14ac:dyDescent="0.25">
      <c r="A303" s="70"/>
      <c r="B303" s="71"/>
      <c r="C303" s="72"/>
      <c r="D303" s="73"/>
      <c r="E303" s="73"/>
      <c r="F303" s="73"/>
      <c r="G303" s="74"/>
      <c r="H303" s="75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</row>
    <row r="304" spans="1:22" x14ac:dyDescent="0.25">
      <c r="A304" s="70"/>
      <c r="B304" s="71"/>
      <c r="C304" s="72"/>
      <c r="D304" s="73"/>
      <c r="E304" s="73"/>
      <c r="F304" s="73"/>
      <c r="G304" s="74"/>
      <c r="H304" s="75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x14ac:dyDescent="0.25">
      <c r="A305" s="70"/>
      <c r="B305" s="71"/>
      <c r="C305" s="72"/>
      <c r="D305" s="73"/>
      <c r="E305" s="73"/>
      <c r="F305" s="73"/>
      <c r="G305" s="74"/>
      <c r="H305" s="75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</row>
    <row r="306" spans="1:22" x14ac:dyDescent="0.25">
      <c r="A306" s="70"/>
      <c r="B306" s="71"/>
      <c r="C306" s="72"/>
      <c r="D306" s="73"/>
      <c r="E306" s="73"/>
      <c r="F306" s="73"/>
      <c r="G306" s="74"/>
      <c r="H306" s="75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x14ac:dyDescent="0.25">
      <c r="A307" s="70"/>
      <c r="B307" s="71"/>
      <c r="C307" s="72"/>
      <c r="D307" s="73"/>
      <c r="E307" s="73"/>
      <c r="F307" s="73"/>
      <c r="G307" s="74"/>
      <c r="H307" s="75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</row>
    <row r="308" spans="1:22" x14ac:dyDescent="0.25">
      <c r="A308" s="70"/>
      <c r="B308" s="71"/>
      <c r="C308" s="72"/>
      <c r="D308" s="73"/>
      <c r="E308" s="73"/>
      <c r="F308" s="73"/>
      <c r="G308" s="74"/>
      <c r="H308" s="75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x14ac:dyDescent="0.25">
      <c r="A309" s="70"/>
      <c r="B309" s="71"/>
      <c r="C309" s="72"/>
      <c r="D309" s="73"/>
      <c r="E309" s="73"/>
      <c r="F309" s="73"/>
      <c r="G309" s="74"/>
      <c r="H309" s="75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</row>
    <row r="310" spans="1:22" x14ac:dyDescent="0.25">
      <c r="A310" s="70"/>
      <c r="B310" s="71"/>
      <c r="C310" s="72"/>
      <c r="D310" s="73"/>
      <c r="E310" s="73"/>
      <c r="F310" s="73"/>
      <c r="G310" s="74"/>
      <c r="H310" s="75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x14ac:dyDescent="0.25">
      <c r="A311" s="70"/>
      <c r="B311" s="71"/>
      <c r="C311" s="72"/>
      <c r="D311" s="73"/>
      <c r="E311" s="73"/>
      <c r="F311" s="73"/>
      <c r="G311" s="74"/>
      <c r="H311" s="75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</row>
    <row r="312" spans="1:22" x14ac:dyDescent="0.25">
      <c r="A312" s="70"/>
      <c r="B312" s="71"/>
      <c r="C312" s="72"/>
      <c r="D312" s="73"/>
      <c r="E312" s="73"/>
      <c r="F312" s="73"/>
      <c r="G312" s="74"/>
      <c r="H312" s="75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x14ac:dyDescent="0.25">
      <c r="A313" s="70"/>
      <c r="B313" s="71"/>
      <c r="C313" s="72"/>
      <c r="D313" s="73"/>
      <c r="E313" s="73"/>
      <c r="F313" s="73"/>
      <c r="G313" s="74"/>
      <c r="H313" s="75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</row>
    <row r="314" spans="1:22" x14ac:dyDescent="0.25">
      <c r="A314" s="70"/>
      <c r="B314" s="71"/>
      <c r="C314" s="72"/>
      <c r="D314" s="73"/>
      <c r="E314" s="73"/>
      <c r="F314" s="73"/>
      <c r="G314" s="74"/>
      <c r="H314" s="75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5" spans="1:22" x14ac:dyDescent="0.25">
      <c r="A315" s="70"/>
      <c r="B315" s="71"/>
      <c r="C315" s="72"/>
      <c r="D315" s="73"/>
      <c r="E315" s="73"/>
      <c r="F315" s="73"/>
      <c r="G315" s="74"/>
      <c r="H315" s="75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</row>
    <row r="316" spans="1:22" x14ac:dyDescent="0.25">
      <c r="A316" s="70"/>
      <c r="B316" s="71"/>
      <c r="C316" s="72"/>
      <c r="D316" s="73"/>
      <c r="E316" s="73"/>
      <c r="F316" s="73"/>
      <c r="G316" s="74"/>
      <c r="H316" s="75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</row>
    <row r="317" spans="1:22" x14ac:dyDescent="0.25">
      <c r="A317" s="70"/>
      <c r="B317" s="71"/>
      <c r="C317" s="72"/>
      <c r="D317" s="73"/>
      <c r="E317" s="73"/>
      <c r="F317" s="73"/>
      <c r="G317" s="74"/>
      <c r="H317" s="75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</row>
    <row r="318" spans="1:22" x14ac:dyDescent="0.25">
      <c r="A318" s="70"/>
      <c r="B318" s="71"/>
      <c r="C318" s="72"/>
      <c r="D318" s="73"/>
      <c r="E318" s="73"/>
      <c r="F318" s="73"/>
      <c r="G318" s="74"/>
      <c r="H318" s="75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</row>
    <row r="319" spans="1:22" x14ac:dyDescent="0.25">
      <c r="A319" s="70"/>
      <c r="B319" s="71"/>
      <c r="C319" s="72"/>
      <c r="D319" s="73"/>
      <c r="E319" s="73"/>
      <c r="F319" s="73"/>
      <c r="G319" s="74"/>
      <c r="H319" s="75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</row>
    <row r="320" spans="1:22" x14ac:dyDescent="0.25">
      <c r="A320" s="70"/>
      <c r="B320" s="71"/>
      <c r="C320" s="72"/>
      <c r="D320" s="73"/>
      <c r="E320" s="73"/>
      <c r="F320" s="73"/>
      <c r="G320" s="74"/>
      <c r="H320" s="75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</row>
    <row r="321" spans="1:22" ht="18.75" customHeight="1" x14ac:dyDescent="0.25">
      <c r="A321" s="76"/>
      <c r="B321" s="29"/>
      <c r="C321" s="29"/>
      <c r="D321" s="77"/>
      <c r="E321" s="78"/>
      <c r="F321" s="78"/>
      <c r="G321" s="77"/>
      <c r="H321" s="77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</row>
    <row r="322" spans="1:22" ht="84" customHeight="1" x14ac:dyDescent="0.25">
      <c r="A322" s="79" t="s">
        <v>55</v>
      </c>
      <c r="B322" s="79"/>
      <c r="C322" s="79"/>
      <c r="D322" s="79"/>
      <c r="E322" s="79"/>
      <c r="F322" s="79"/>
      <c r="G322" s="79"/>
      <c r="H322" s="7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</row>
    <row r="323" spans="1:22" ht="21" customHeight="1" x14ac:dyDescent="0.25">
      <c r="A323" s="79"/>
      <c r="B323" s="79"/>
      <c r="C323" s="79"/>
      <c r="D323" s="79"/>
      <c r="E323" s="79"/>
      <c r="F323" s="79"/>
      <c r="G323" s="79"/>
      <c r="H323" s="79"/>
      <c r="I323" s="7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</row>
    <row r="324" spans="1:22" x14ac:dyDescent="0.25">
      <c r="A324" s="80"/>
      <c r="B324" s="29"/>
      <c r="C324" s="29"/>
      <c r="D324" s="29"/>
      <c r="E324" s="81"/>
      <c r="F324" s="81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</row>
    <row r="325" spans="1:22" x14ac:dyDescent="0.25">
      <c r="A325" s="80"/>
      <c r="B325" s="29"/>
      <c r="C325" s="29"/>
      <c r="D325" s="29"/>
      <c r="E325" s="81"/>
      <c r="F325" s="81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</row>
    <row r="326" spans="1:22" x14ac:dyDescent="0.25">
      <c r="A326" s="80"/>
      <c r="B326" s="29"/>
      <c r="C326" s="29"/>
      <c r="D326" s="29"/>
      <c r="E326" s="81"/>
      <c r="F326" s="81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</row>
    <row r="327" spans="1:22" x14ac:dyDescent="0.25">
      <c r="A327" s="80"/>
      <c r="B327" s="29"/>
      <c r="C327" s="29"/>
      <c r="D327" s="29"/>
      <c r="E327" s="81"/>
      <c r="F327" s="81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</row>
    <row r="328" spans="1:22" x14ac:dyDescent="0.25">
      <c r="A328" s="80"/>
      <c r="B328" s="29"/>
      <c r="C328" s="29"/>
      <c r="D328" s="29"/>
      <c r="E328" s="81"/>
      <c r="F328" s="81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</row>
    <row r="329" spans="1:22" x14ac:dyDescent="0.25">
      <c r="A329" s="80"/>
      <c r="B329" s="29"/>
      <c r="C329" s="29"/>
      <c r="D329" s="29"/>
      <c r="E329" s="81"/>
      <c r="F329" s="81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</row>
    <row r="330" spans="1:22" x14ac:dyDescent="0.25">
      <c r="A330" s="80"/>
      <c r="B330" s="29"/>
      <c r="C330" s="29"/>
      <c r="D330" s="29"/>
      <c r="E330" s="81"/>
      <c r="F330" s="81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</row>
    <row r="331" spans="1:22" x14ac:dyDescent="0.25">
      <c r="A331" s="80"/>
      <c r="B331" s="29"/>
      <c r="C331" s="29"/>
      <c r="D331" s="29"/>
      <c r="E331" s="81"/>
      <c r="F331" s="81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</row>
    <row r="332" spans="1:22" x14ac:dyDescent="0.25">
      <c r="A332" s="80"/>
      <c r="B332" s="29"/>
      <c r="C332" s="29"/>
      <c r="D332" s="29"/>
      <c r="E332" s="81"/>
      <c r="F332" s="81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2" x14ac:dyDescent="0.25">
      <c r="A333" s="80"/>
      <c r="B333" s="29"/>
      <c r="C333" s="29"/>
      <c r="D333" s="29"/>
      <c r="E333" s="81"/>
      <c r="F333" s="81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</row>
    <row r="334" spans="1:22" x14ac:dyDescent="0.25">
      <c r="A334" s="80"/>
      <c r="B334" s="29"/>
      <c r="C334" s="29"/>
      <c r="D334" s="29"/>
      <c r="E334" s="81"/>
      <c r="F334" s="81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x14ac:dyDescent="0.25">
      <c r="A335" s="80"/>
      <c r="B335" s="29"/>
      <c r="C335" s="29"/>
      <c r="D335" s="29"/>
      <c r="E335" s="81"/>
      <c r="F335" s="81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</row>
    <row r="336" spans="1:22" x14ac:dyDescent="0.25">
      <c r="A336" s="80"/>
      <c r="B336" s="29"/>
      <c r="C336" s="29"/>
      <c r="D336" s="29"/>
      <c r="E336" s="81"/>
      <c r="F336" s="81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x14ac:dyDescent="0.25">
      <c r="A337" s="80"/>
      <c r="B337" s="29"/>
      <c r="C337" s="29"/>
      <c r="D337" s="29"/>
      <c r="E337" s="81"/>
      <c r="F337" s="81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</row>
    <row r="338" spans="1:22" x14ac:dyDescent="0.25">
      <c r="A338" s="80"/>
      <c r="B338" s="29"/>
      <c r="C338" s="29"/>
      <c r="D338" s="29"/>
      <c r="E338" s="81"/>
      <c r="F338" s="81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x14ac:dyDescent="0.25">
      <c r="A339" s="80"/>
      <c r="B339" s="29"/>
      <c r="C339" s="29"/>
      <c r="D339" s="29"/>
      <c r="E339" s="81"/>
      <c r="F339" s="81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</row>
    <row r="340" spans="1:22" x14ac:dyDescent="0.25">
      <c r="A340" s="80"/>
      <c r="B340" s="29"/>
      <c r="C340" s="29"/>
      <c r="D340" s="29"/>
      <c r="E340" s="81"/>
      <c r="F340" s="81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x14ac:dyDescent="0.25">
      <c r="A341" s="80"/>
      <c r="B341" s="29"/>
      <c r="C341" s="29"/>
      <c r="D341" s="29"/>
      <c r="E341" s="81"/>
      <c r="F341" s="81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</row>
    <row r="342" spans="1:22" x14ac:dyDescent="0.25">
      <c r="A342" s="80"/>
      <c r="B342" s="29"/>
      <c r="C342" s="29"/>
      <c r="D342" s="29"/>
      <c r="E342" s="81"/>
      <c r="F342" s="81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x14ac:dyDescent="0.25">
      <c r="A343" s="80"/>
      <c r="B343" s="29"/>
      <c r="C343" s="29"/>
      <c r="D343" s="29"/>
      <c r="E343" s="81"/>
      <c r="F343" s="81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</row>
    <row r="344" spans="1:22" x14ac:dyDescent="0.25">
      <c r="A344" s="80"/>
      <c r="B344" s="29"/>
      <c r="C344" s="29"/>
      <c r="D344" s="29"/>
      <c r="E344" s="81"/>
      <c r="F344" s="81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x14ac:dyDescent="0.25">
      <c r="A345" s="80"/>
      <c r="B345" s="29"/>
      <c r="C345" s="29"/>
      <c r="D345" s="29"/>
      <c r="E345" s="81"/>
      <c r="F345" s="81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</row>
    <row r="346" spans="1:22" x14ac:dyDescent="0.25">
      <c r="A346" s="80"/>
      <c r="B346" s="29"/>
      <c r="C346" s="29"/>
      <c r="D346" s="29"/>
      <c r="E346" s="81"/>
      <c r="F346" s="81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x14ac:dyDescent="0.25">
      <c r="A347" s="80"/>
      <c r="B347" s="29"/>
      <c r="C347" s="29"/>
      <c r="D347" s="29"/>
      <c r="E347" s="81"/>
      <c r="F347" s="81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</row>
    <row r="348" spans="1:22" x14ac:dyDescent="0.25">
      <c r="A348" s="80"/>
      <c r="B348" s="29"/>
      <c r="C348" s="29"/>
      <c r="D348" s="29"/>
      <c r="E348" s="81"/>
      <c r="F348" s="81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49" spans="1:22" x14ac:dyDescent="0.25">
      <c r="A349" s="80"/>
      <c r="B349" s="29"/>
      <c r="C349" s="29"/>
      <c r="D349" s="29"/>
      <c r="E349" s="81"/>
      <c r="F349" s="81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</row>
    <row r="350" spans="1:22" x14ac:dyDescent="0.25">
      <c r="A350" s="80"/>
      <c r="B350" s="29"/>
      <c r="C350" s="29"/>
      <c r="D350" s="29"/>
      <c r="E350" s="81"/>
      <c r="F350" s="81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</row>
    <row r="351" spans="1:22" x14ac:dyDescent="0.25">
      <c r="A351" s="82"/>
      <c r="E351" s="83"/>
      <c r="F351" s="83"/>
    </row>
    <row r="352" spans="1:22" x14ac:dyDescent="0.25">
      <c r="A352" s="82"/>
      <c r="E352" s="83"/>
      <c r="F352" s="83"/>
    </row>
    <row r="353" spans="1:6" x14ac:dyDescent="0.25">
      <c r="A353" s="82"/>
      <c r="E353" s="83"/>
      <c r="F353" s="83"/>
    </row>
    <row r="354" spans="1:6" x14ac:dyDescent="0.25">
      <c r="A354" s="82"/>
      <c r="E354" s="83"/>
      <c r="F354" s="83"/>
    </row>
    <row r="355" spans="1:6" x14ac:dyDescent="0.25">
      <c r="A355" s="82"/>
      <c r="E355" s="83"/>
      <c r="F355" s="83"/>
    </row>
    <row r="356" spans="1:6" x14ac:dyDescent="0.25">
      <c r="A356" s="82"/>
      <c r="E356" s="83"/>
      <c r="F356" s="83"/>
    </row>
    <row r="357" spans="1:6" x14ac:dyDescent="0.25">
      <c r="E357" s="83"/>
      <c r="F357" s="83"/>
    </row>
    <row r="358" spans="1:6" x14ac:dyDescent="0.25">
      <c r="E358" s="83"/>
      <c r="F358" s="83"/>
    </row>
    <row r="359" spans="1:6" x14ac:dyDescent="0.25">
      <c r="E359" s="83"/>
      <c r="F359" s="83"/>
    </row>
    <row r="360" spans="1:6" x14ac:dyDescent="0.25">
      <c r="E360" s="83"/>
      <c r="F360" s="83"/>
    </row>
    <row r="361" spans="1:6" x14ac:dyDescent="0.25">
      <c r="E361" s="83"/>
      <c r="F361" s="83"/>
    </row>
    <row r="362" spans="1:6" x14ac:dyDescent="0.25">
      <c r="E362" s="83"/>
      <c r="F362" s="83"/>
    </row>
    <row r="363" spans="1:6" x14ac:dyDescent="0.25">
      <c r="E363" s="83"/>
      <c r="F363" s="83"/>
    </row>
    <row r="364" spans="1:6" x14ac:dyDescent="0.25">
      <c r="E364" s="83"/>
      <c r="F364" s="83"/>
    </row>
  </sheetData>
  <mergeCells count="142">
    <mergeCell ref="B59:B62"/>
    <mergeCell ref="A85:A88"/>
    <mergeCell ref="B85:B88"/>
    <mergeCell ref="D148:H148"/>
    <mergeCell ref="A109:A112"/>
    <mergeCell ref="A2:H2"/>
    <mergeCell ref="A4:A5"/>
    <mergeCell ref="B4:B5"/>
    <mergeCell ref="D4:F4"/>
    <mergeCell ref="G4:G5"/>
    <mergeCell ref="H4:H5"/>
    <mergeCell ref="A19:A22"/>
    <mergeCell ref="B19:B22"/>
    <mergeCell ref="A23:A26"/>
    <mergeCell ref="B23:B26"/>
    <mergeCell ref="A27:A30"/>
    <mergeCell ref="B27:B30"/>
    <mergeCell ref="A47:A50"/>
    <mergeCell ref="B47:B50"/>
    <mergeCell ref="A51:A54"/>
    <mergeCell ref="B51:B54"/>
    <mergeCell ref="A67:A70"/>
    <mergeCell ref="B67:B70"/>
    <mergeCell ref="A71:A74"/>
    <mergeCell ref="B109:B112"/>
    <mergeCell ref="B101:B104"/>
    <mergeCell ref="B71:B74"/>
    <mergeCell ref="B75:E75"/>
    <mergeCell ref="A105:A108"/>
    <mergeCell ref="I4:I5"/>
    <mergeCell ref="A7:A10"/>
    <mergeCell ref="B7:B10"/>
    <mergeCell ref="A11:A14"/>
    <mergeCell ref="B11:B14"/>
    <mergeCell ref="A15:A18"/>
    <mergeCell ref="B15:B18"/>
    <mergeCell ref="A43:A46"/>
    <mergeCell ref="B43:B46"/>
    <mergeCell ref="A31:A34"/>
    <mergeCell ref="B31:B34"/>
    <mergeCell ref="A35:A38"/>
    <mergeCell ref="B35:B38"/>
    <mergeCell ref="A39:A42"/>
    <mergeCell ref="B39:B42"/>
    <mergeCell ref="A55:A58"/>
    <mergeCell ref="B55:B58"/>
    <mergeCell ref="A59:A62"/>
    <mergeCell ref="A63:A66"/>
    <mergeCell ref="D107:H108"/>
    <mergeCell ref="B63:B66"/>
    <mergeCell ref="A101:A104"/>
    <mergeCell ref="B105:B108"/>
    <mergeCell ref="A89:A92"/>
    <mergeCell ref="B89:B92"/>
    <mergeCell ref="A93:A96"/>
    <mergeCell ref="B93:B96"/>
    <mergeCell ref="A97:A100"/>
    <mergeCell ref="B77:B80"/>
    <mergeCell ref="B81:B84"/>
    <mergeCell ref="A81:A84"/>
    <mergeCell ref="A77:A80"/>
    <mergeCell ref="B97:B100"/>
    <mergeCell ref="A137:A140"/>
    <mergeCell ref="B137:B140"/>
    <mergeCell ref="A141:A144"/>
    <mergeCell ref="B141:B144"/>
    <mergeCell ref="A145:A148"/>
    <mergeCell ref="B145:B148"/>
    <mergeCell ref="A133:A136"/>
    <mergeCell ref="B133:B136"/>
    <mergeCell ref="A113:A116"/>
    <mergeCell ref="B113:B116"/>
    <mergeCell ref="A117:A120"/>
    <mergeCell ref="B117:B120"/>
    <mergeCell ref="A121:A124"/>
    <mergeCell ref="B121:B124"/>
    <mergeCell ref="A129:A132"/>
    <mergeCell ref="B129:B132"/>
    <mergeCell ref="A125:A128"/>
    <mergeCell ref="B125:B128"/>
    <mergeCell ref="A322:H322"/>
    <mergeCell ref="A323:I323"/>
    <mergeCell ref="A217:A220"/>
    <mergeCell ref="B217:B220"/>
    <mergeCell ref="A221:A224"/>
    <mergeCell ref="B221:B224"/>
    <mergeCell ref="A225:A228"/>
    <mergeCell ref="B225:B228"/>
    <mergeCell ref="A249:A252"/>
    <mergeCell ref="B249:B252"/>
    <mergeCell ref="A253:A256"/>
    <mergeCell ref="B253:B256"/>
    <mergeCell ref="A233:A236"/>
    <mergeCell ref="B233:B236"/>
    <mergeCell ref="A237:A240"/>
    <mergeCell ref="B237:B240"/>
    <mergeCell ref="A241:A244"/>
    <mergeCell ref="B241:B244"/>
    <mergeCell ref="A245:A248"/>
    <mergeCell ref="B245:B248"/>
    <mergeCell ref="A229:A232"/>
    <mergeCell ref="B229:B232"/>
    <mergeCell ref="A157:A160"/>
    <mergeCell ref="B157:B160"/>
    <mergeCell ref="A197:A200"/>
    <mergeCell ref="B197:B200"/>
    <mergeCell ref="A201:A204"/>
    <mergeCell ref="B201:B204"/>
    <mergeCell ref="A205:A208"/>
    <mergeCell ref="B205:B208"/>
    <mergeCell ref="A177:A180"/>
    <mergeCell ref="B177:B180"/>
    <mergeCell ref="A181:A184"/>
    <mergeCell ref="B181:B184"/>
    <mergeCell ref="A185:A188"/>
    <mergeCell ref="B185:B188"/>
    <mergeCell ref="A189:A192"/>
    <mergeCell ref="B189:B192"/>
    <mergeCell ref="D216:H216"/>
    <mergeCell ref="D220:H220"/>
    <mergeCell ref="A209:A212"/>
    <mergeCell ref="B209:B212"/>
    <mergeCell ref="A213:A216"/>
    <mergeCell ref="B213:B216"/>
    <mergeCell ref="D188:H188"/>
    <mergeCell ref="D192:H192"/>
    <mergeCell ref="A149:A152"/>
    <mergeCell ref="B149:B152"/>
    <mergeCell ref="A153:A156"/>
    <mergeCell ref="B153:B156"/>
    <mergeCell ref="A193:A196"/>
    <mergeCell ref="B193:B196"/>
    <mergeCell ref="D215:H215"/>
    <mergeCell ref="D194:H194"/>
    <mergeCell ref="A173:A176"/>
    <mergeCell ref="B173:B176"/>
    <mergeCell ref="A161:A164"/>
    <mergeCell ref="B161:B164"/>
    <mergeCell ref="A165:A168"/>
    <mergeCell ref="B165:B168"/>
    <mergeCell ref="A169:A172"/>
    <mergeCell ref="B169:B172"/>
  </mergeCells>
  <printOptions horizontalCentered="1"/>
  <pageMargins left="0.70866141732283472" right="0.70866141732283472" top="0.78740157480314965" bottom="0.39370078740157483" header="0.62992125984251968" footer="0.31496062992125984"/>
  <pageSetup paperSize="9" scale="84" orientation="landscape" r:id="rId1"/>
  <rowBreaks count="2" manualBreakCount="2">
    <brk id="29" max="7" man="1"/>
    <brk id="6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5"/>
  <sheetViews>
    <sheetView view="pageBreakPreview" topLeftCell="A25" zoomScale="60" workbookViewId="0">
      <selection activeCell="D55" sqref="D55"/>
    </sheetView>
  </sheetViews>
  <sheetFormatPr defaultRowHeight="15" x14ac:dyDescent="0.25"/>
  <cols>
    <col min="1" max="1" width="6" style="5" customWidth="1"/>
    <col min="2" max="2" width="53.42578125" style="5" customWidth="1"/>
    <col min="3" max="3" width="9.140625" style="5"/>
    <col min="4" max="4" width="13.85546875" style="6" customWidth="1"/>
    <col min="5" max="5" width="13.28515625" style="6" customWidth="1"/>
    <col min="6" max="6" width="9.140625" style="1"/>
  </cols>
  <sheetData>
    <row r="2" spans="1:6" x14ac:dyDescent="0.25">
      <c r="D2" s="6" t="s">
        <v>75</v>
      </c>
      <c r="E2" s="6" t="s">
        <v>76</v>
      </c>
    </row>
    <row r="3" spans="1:6" x14ac:dyDescent="0.25">
      <c r="A3" s="9" t="s">
        <v>1</v>
      </c>
      <c r="B3" s="12" t="s">
        <v>57</v>
      </c>
      <c r="C3" s="3" t="s">
        <v>73</v>
      </c>
      <c r="D3" s="8">
        <v>260265.7</v>
      </c>
      <c r="E3" s="8">
        <v>240388.8</v>
      </c>
      <c r="F3" s="2">
        <f>E3/D3</f>
        <v>0.92362843048469301</v>
      </c>
    </row>
    <row r="4" spans="1:6" x14ac:dyDescent="0.25">
      <c r="A4" s="15"/>
      <c r="B4" s="15"/>
      <c r="C4" s="4" t="s">
        <v>74</v>
      </c>
      <c r="D4" s="7">
        <v>253306</v>
      </c>
      <c r="E4" s="7">
        <v>234882.4</v>
      </c>
      <c r="F4" s="2">
        <f t="shared" ref="F4:F16" si="0">E4/D4</f>
        <v>0.92726741569485127</v>
      </c>
    </row>
    <row r="5" spans="1:6" x14ac:dyDescent="0.25">
      <c r="A5" s="15"/>
      <c r="B5" s="15"/>
      <c r="C5" s="4" t="s">
        <v>6</v>
      </c>
      <c r="D5" s="7">
        <v>6959.7</v>
      </c>
      <c r="E5" s="7">
        <v>5506.4</v>
      </c>
      <c r="F5" s="2">
        <f t="shared" si="0"/>
        <v>0.7911835280256333</v>
      </c>
    </row>
    <row r="6" spans="1:6" x14ac:dyDescent="0.25">
      <c r="A6" s="16"/>
      <c r="B6" s="16"/>
      <c r="C6" s="4" t="s">
        <v>9</v>
      </c>
      <c r="D6" s="7">
        <v>0</v>
      </c>
      <c r="E6" s="7">
        <v>0</v>
      </c>
      <c r="F6" s="2"/>
    </row>
    <row r="7" spans="1:6" x14ac:dyDescent="0.25">
      <c r="A7" s="9" t="s">
        <v>7</v>
      </c>
      <c r="B7" s="12" t="s">
        <v>8</v>
      </c>
      <c r="C7" s="3" t="s">
        <v>73</v>
      </c>
      <c r="D7" s="8">
        <f>SUM(D8:D10)</f>
        <v>3728976.4000000004</v>
      </c>
      <c r="E7" s="8">
        <f>SUM(E8:E10)</f>
        <v>3683057.3</v>
      </c>
      <c r="F7" s="2">
        <f t="shared" si="0"/>
        <v>0.98768587004197705</v>
      </c>
    </row>
    <row r="8" spans="1:6" x14ac:dyDescent="0.25">
      <c r="A8" s="10"/>
      <c r="B8" s="13"/>
      <c r="C8" s="4" t="s">
        <v>74</v>
      </c>
      <c r="D8" s="7">
        <v>1379083.6</v>
      </c>
      <c r="E8" s="7">
        <v>1342279.3</v>
      </c>
      <c r="F8" s="2">
        <f t="shared" si="0"/>
        <v>0.97331249534110909</v>
      </c>
    </row>
    <row r="9" spans="1:6" x14ac:dyDescent="0.25">
      <c r="A9" s="10"/>
      <c r="B9" s="13"/>
      <c r="C9" s="4" t="s">
        <v>6</v>
      </c>
      <c r="D9" s="7">
        <v>2329747.1</v>
      </c>
      <c r="E9" s="7">
        <v>2320632.2999999998</v>
      </c>
      <c r="F9" s="2">
        <f t="shared" si="0"/>
        <v>0.99608764401938721</v>
      </c>
    </row>
    <row r="10" spans="1:6" x14ac:dyDescent="0.25">
      <c r="A10" s="11"/>
      <c r="B10" s="14"/>
      <c r="C10" s="4" t="s">
        <v>9</v>
      </c>
      <c r="D10" s="7">
        <v>20145.7</v>
      </c>
      <c r="E10" s="7">
        <v>20145.7</v>
      </c>
      <c r="F10" s="2">
        <f t="shared" si="0"/>
        <v>1</v>
      </c>
    </row>
    <row r="11" spans="1:6" x14ac:dyDescent="0.25">
      <c r="A11" s="9" t="s">
        <v>12</v>
      </c>
      <c r="B11" s="19" t="s">
        <v>13</v>
      </c>
      <c r="C11" s="3" t="s">
        <v>73</v>
      </c>
      <c r="D11" s="8">
        <f>SUM(D12:D14)</f>
        <v>438569.4</v>
      </c>
      <c r="E11" s="8">
        <f>SUM(E12:E14)</f>
        <v>433631.2</v>
      </c>
      <c r="F11" s="2">
        <f t="shared" si="0"/>
        <v>0.98874020850519895</v>
      </c>
    </row>
    <row r="12" spans="1:6" x14ac:dyDescent="0.25">
      <c r="A12" s="10"/>
      <c r="B12" s="22"/>
      <c r="C12" s="4" t="s">
        <v>74</v>
      </c>
      <c r="D12" s="7">
        <v>438534.40000000002</v>
      </c>
      <c r="E12" s="7">
        <v>433596.2</v>
      </c>
      <c r="F12" s="2">
        <f t="shared" si="0"/>
        <v>0.98873930984661629</v>
      </c>
    </row>
    <row r="13" spans="1:6" x14ac:dyDescent="0.25">
      <c r="A13" s="10"/>
      <c r="B13" s="22"/>
      <c r="C13" s="4" t="s">
        <v>6</v>
      </c>
      <c r="D13" s="7">
        <v>35</v>
      </c>
      <c r="E13" s="7">
        <v>35</v>
      </c>
      <c r="F13" s="2">
        <f t="shared" si="0"/>
        <v>1</v>
      </c>
    </row>
    <row r="14" spans="1:6" x14ac:dyDescent="0.25">
      <c r="A14" s="11"/>
      <c r="B14" s="23"/>
      <c r="C14" s="4" t="s">
        <v>9</v>
      </c>
      <c r="D14" s="7">
        <v>0</v>
      </c>
      <c r="E14" s="7">
        <v>0</v>
      </c>
    </row>
    <row r="15" spans="1:6" x14ac:dyDescent="0.25">
      <c r="A15" s="9" t="s">
        <v>18</v>
      </c>
      <c r="B15" s="19" t="s">
        <v>58</v>
      </c>
      <c r="C15" s="3" t="s">
        <v>73</v>
      </c>
      <c r="D15" s="8">
        <f>SUM(D16:D18)</f>
        <v>33520.199999999997</v>
      </c>
      <c r="E15" s="8">
        <f>SUM(E16:E18)</f>
        <v>33039.4</v>
      </c>
      <c r="F15" s="2">
        <f t="shared" si="0"/>
        <v>0.98565641016461725</v>
      </c>
    </row>
    <row r="16" spans="1:6" x14ac:dyDescent="0.25">
      <c r="A16" s="10"/>
      <c r="B16" s="22"/>
      <c r="C16" s="4" t="s">
        <v>74</v>
      </c>
      <c r="D16" s="7">
        <v>33520.199999999997</v>
      </c>
      <c r="E16" s="7">
        <v>33039.4</v>
      </c>
      <c r="F16" s="2">
        <f t="shared" si="0"/>
        <v>0.98565641016461725</v>
      </c>
    </row>
    <row r="17" spans="1:6" x14ac:dyDescent="0.25">
      <c r="A17" s="10"/>
      <c r="B17" s="22"/>
      <c r="C17" s="4" t="s">
        <v>6</v>
      </c>
      <c r="D17" s="7">
        <v>0</v>
      </c>
      <c r="E17" s="7">
        <v>0</v>
      </c>
    </row>
    <row r="18" spans="1:6" x14ac:dyDescent="0.25">
      <c r="A18" s="11"/>
      <c r="B18" s="23"/>
      <c r="C18" s="4" t="s">
        <v>9</v>
      </c>
      <c r="D18" s="7">
        <v>0</v>
      </c>
      <c r="E18" s="7">
        <v>0</v>
      </c>
    </row>
    <row r="19" spans="1:6" x14ac:dyDescent="0.25">
      <c r="A19" s="9" t="s">
        <v>19</v>
      </c>
      <c r="B19" s="19" t="s">
        <v>59</v>
      </c>
      <c r="C19" s="3" t="s">
        <v>73</v>
      </c>
      <c r="D19" s="8">
        <f>SUM(D20:D22)</f>
        <v>15970.3</v>
      </c>
      <c r="E19" s="8">
        <f>SUM(E20:E22)</f>
        <v>2989.4</v>
      </c>
      <c r="F19" s="2">
        <f t="shared" ref="F19:F32" si="1">E19/D19</f>
        <v>0.1871849620858719</v>
      </c>
    </row>
    <row r="20" spans="1:6" x14ac:dyDescent="0.25">
      <c r="A20" s="17"/>
      <c r="B20" s="20"/>
      <c r="C20" s="4" t="s">
        <v>74</v>
      </c>
      <c r="D20" s="7">
        <v>4431.5</v>
      </c>
      <c r="E20" s="7">
        <v>543.1</v>
      </c>
      <c r="F20" s="2">
        <f t="shared" si="1"/>
        <v>0.12255443980593479</v>
      </c>
    </row>
    <row r="21" spans="1:6" x14ac:dyDescent="0.25">
      <c r="A21" s="17"/>
      <c r="B21" s="20"/>
      <c r="C21" s="4" t="s">
        <v>6</v>
      </c>
      <c r="D21" s="7">
        <v>11307.4</v>
      </c>
      <c r="E21" s="7">
        <v>2214.9</v>
      </c>
      <c r="F21" s="2">
        <f t="shared" si="1"/>
        <v>0.19588057378353999</v>
      </c>
    </row>
    <row r="22" spans="1:6" x14ac:dyDescent="0.25">
      <c r="A22" s="18"/>
      <c r="B22" s="21"/>
      <c r="C22" s="4" t="s">
        <v>9</v>
      </c>
      <c r="D22" s="7">
        <v>231.4</v>
      </c>
      <c r="E22" s="7">
        <v>231.4</v>
      </c>
      <c r="F22" s="2">
        <f t="shared" si="1"/>
        <v>1</v>
      </c>
    </row>
    <row r="23" spans="1:6" x14ac:dyDescent="0.25">
      <c r="A23" s="9" t="s">
        <v>20</v>
      </c>
      <c r="B23" s="19" t="s">
        <v>60</v>
      </c>
      <c r="C23" s="3" t="s">
        <v>73</v>
      </c>
      <c r="D23" s="8">
        <f>SUM(D24:D26)</f>
        <v>943418.8</v>
      </c>
      <c r="E23" s="8">
        <f>SUM(E24:E26)</f>
        <v>632184.30000000005</v>
      </c>
      <c r="F23" s="2">
        <f t="shared" si="1"/>
        <v>0.67009932386337856</v>
      </c>
    </row>
    <row r="24" spans="1:6" x14ac:dyDescent="0.25">
      <c r="A24" s="10"/>
      <c r="B24" s="20"/>
      <c r="C24" s="4" t="s">
        <v>74</v>
      </c>
      <c r="D24" s="7">
        <v>810492.9</v>
      </c>
      <c r="E24" s="7">
        <v>504561.4</v>
      </c>
      <c r="F24" s="2">
        <f t="shared" si="1"/>
        <v>0.6225364836632129</v>
      </c>
    </row>
    <row r="25" spans="1:6" x14ac:dyDescent="0.25">
      <c r="A25" s="10"/>
      <c r="B25" s="20"/>
      <c r="C25" s="4" t="s">
        <v>6</v>
      </c>
      <c r="D25" s="7">
        <v>132925.9</v>
      </c>
      <c r="E25" s="7">
        <v>127622.9</v>
      </c>
      <c r="F25" s="2">
        <f t="shared" si="1"/>
        <v>0.96010559266478546</v>
      </c>
    </row>
    <row r="26" spans="1:6" x14ac:dyDescent="0.25">
      <c r="A26" s="11"/>
      <c r="B26" s="26"/>
      <c r="C26" s="4" t="s">
        <v>9</v>
      </c>
      <c r="D26" s="7">
        <v>0</v>
      </c>
      <c r="E26" s="7">
        <v>0</v>
      </c>
      <c r="F26" s="2"/>
    </row>
    <row r="27" spans="1:6" x14ac:dyDescent="0.25">
      <c r="A27" s="9" t="s">
        <v>21</v>
      </c>
      <c r="B27" s="19" t="s">
        <v>61</v>
      </c>
      <c r="C27" s="3" t="s">
        <v>73</v>
      </c>
      <c r="D27" s="8">
        <f>SUM(D28:D30)</f>
        <v>108628.1</v>
      </c>
      <c r="E27" s="8">
        <f>SUM(E28:E30)</f>
        <v>103157.5</v>
      </c>
      <c r="F27" s="2">
        <f t="shared" si="1"/>
        <v>0.94963918175867934</v>
      </c>
    </row>
    <row r="28" spans="1:6" x14ac:dyDescent="0.25">
      <c r="A28" s="10"/>
      <c r="B28" s="20"/>
      <c r="C28" s="4" t="s">
        <v>74</v>
      </c>
      <c r="D28" s="7">
        <v>106842</v>
      </c>
      <c r="E28" s="7">
        <v>101781.7</v>
      </c>
      <c r="F28" s="2">
        <f t="shared" si="1"/>
        <v>0.95263753954437391</v>
      </c>
    </row>
    <row r="29" spans="1:6" x14ac:dyDescent="0.25">
      <c r="A29" s="10"/>
      <c r="B29" s="20"/>
      <c r="C29" s="4" t="s">
        <v>6</v>
      </c>
      <c r="D29" s="7">
        <v>1786.1</v>
      </c>
      <c r="E29" s="7">
        <v>1375.8</v>
      </c>
      <c r="F29" s="2">
        <f t="shared" si="1"/>
        <v>0.77028161917025928</v>
      </c>
    </row>
    <row r="30" spans="1:6" x14ac:dyDescent="0.25">
      <c r="A30" s="11"/>
      <c r="B30" s="21"/>
      <c r="C30" s="4" t="s">
        <v>9</v>
      </c>
      <c r="D30" s="7">
        <v>0</v>
      </c>
      <c r="E30" s="7">
        <v>0</v>
      </c>
    </row>
    <row r="31" spans="1:6" x14ac:dyDescent="0.25">
      <c r="A31" s="9" t="s">
        <v>22</v>
      </c>
      <c r="B31" s="12" t="s">
        <v>62</v>
      </c>
      <c r="C31" s="3" t="s">
        <v>73</v>
      </c>
      <c r="D31" s="8">
        <f>SUM(D32:D34)</f>
        <v>30579.5</v>
      </c>
      <c r="E31" s="8">
        <f>SUM(E32:E34)</f>
        <v>25299.1</v>
      </c>
      <c r="F31" s="2">
        <f t="shared" si="1"/>
        <v>0.82732222567406266</v>
      </c>
    </row>
    <row r="32" spans="1:6" x14ac:dyDescent="0.25">
      <c r="A32" s="10"/>
      <c r="B32" s="24"/>
      <c r="C32" s="4" t="s">
        <v>74</v>
      </c>
      <c r="D32" s="7">
        <v>30579.5</v>
      </c>
      <c r="E32" s="7">
        <v>25299.1</v>
      </c>
      <c r="F32" s="2">
        <f t="shared" si="1"/>
        <v>0.82732222567406266</v>
      </c>
    </row>
    <row r="33" spans="1:6" x14ac:dyDescent="0.25">
      <c r="A33" s="10"/>
      <c r="B33" s="24"/>
      <c r="C33" s="4" t="s">
        <v>6</v>
      </c>
      <c r="D33" s="7">
        <v>0</v>
      </c>
      <c r="E33" s="7">
        <v>0</v>
      </c>
    </row>
    <row r="34" spans="1:6" x14ac:dyDescent="0.25">
      <c r="A34" s="11"/>
      <c r="B34" s="25"/>
      <c r="C34" s="4" t="s">
        <v>9</v>
      </c>
      <c r="D34" s="7">
        <v>0</v>
      </c>
      <c r="E34" s="7">
        <v>0</v>
      </c>
    </row>
    <row r="35" spans="1:6" x14ac:dyDescent="0.25">
      <c r="A35" s="9" t="s">
        <v>23</v>
      </c>
      <c r="B35" s="12" t="s">
        <v>64</v>
      </c>
      <c r="C35" s="3" t="s">
        <v>73</v>
      </c>
      <c r="D35" s="8">
        <f>SUM(D36:D38)</f>
        <v>6021.6</v>
      </c>
      <c r="E35" s="8">
        <f>SUM(E36:E38)</f>
        <v>5455.5</v>
      </c>
      <c r="F35" s="2">
        <f t="shared" ref="F35:F36" si="2">E35/D35</f>
        <v>0.9059884416102032</v>
      </c>
    </row>
    <row r="36" spans="1:6" x14ac:dyDescent="0.25">
      <c r="A36" s="17"/>
      <c r="B36" s="24"/>
      <c r="C36" s="4" t="s">
        <v>74</v>
      </c>
      <c r="D36" s="7">
        <v>6021.6</v>
      </c>
      <c r="E36" s="7">
        <v>5455.5</v>
      </c>
      <c r="F36" s="2">
        <f t="shared" si="2"/>
        <v>0.9059884416102032</v>
      </c>
    </row>
    <row r="37" spans="1:6" x14ac:dyDescent="0.25">
      <c r="A37" s="17"/>
      <c r="B37" s="24"/>
      <c r="C37" s="4" t="s">
        <v>6</v>
      </c>
      <c r="D37" s="7">
        <v>0</v>
      </c>
      <c r="E37" s="7">
        <v>0</v>
      </c>
    </row>
    <row r="38" spans="1:6" x14ac:dyDescent="0.25">
      <c r="A38" s="18"/>
      <c r="B38" s="25"/>
      <c r="C38" s="4" t="s">
        <v>9</v>
      </c>
      <c r="D38" s="7">
        <v>0</v>
      </c>
      <c r="E38" s="7">
        <v>0</v>
      </c>
    </row>
    <row r="39" spans="1:6" x14ac:dyDescent="0.25">
      <c r="A39" s="9" t="s">
        <v>24</v>
      </c>
      <c r="B39" s="12" t="s">
        <v>65</v>
      </c>
      <c r="C39" s="3" t="s">
        <v>73</v>
      </c>
      <c r="D39" s="8">
        <f>SUM(D40:D42)</f>
        <v>10360.299999999999</v>
      </c>
      <c r="E39" s="8">
        <f>SUM(E40:E42)</f>
        <v>9725.7000000000007</v>
      </c>
      <c r="F39" s="2">
        <f t="shared" ref="F39:F56" si="3">E39/D39</f>
        <v>0.93874694748221588</v>
      </c>
    </row>
    <row r="40" spans="1:6" x14ac:dyDescent="0.25">
      <c r="A40" s="17"/>
      <c r="B40" s="24"/>
      <c r="C40" s="4" t="s">
        <v>74</v>
      </c>
      <c r="D40" s="7">
        <v>3768.3</v>
      </c>
      <c r="E40" s="7">
        <v>3290.9</v>
      </c>
      <c r="F40" s="2">
        <f t="shared" si="3"/>
        <v>0.87331157285778727</v>
      </c>
    </row>
    <row r="41" spans="1:6" x14ac:dyDescent="0.25">
      <c r="A41" s="17"/>
      <c r="B41" s="24"/>
      <c r="C41" s="4" t="s">
        <v>6</v>
      </c>
      <c r="D41" s="7">
        <v>2301</v>
      </c>
      <c r="E41" s="7">
        <v>2143.8000000000002</v>
      </c>
      <c r="F41" s="2">
        <f t="shared" si="3"/>
        <v>0.93168187744458941</v>
      </c>
    </row>
    <row r="42" spans="1:6" x14ac:dyDescent="0.25">
      <c r="A42" s="18"/>
      <c r="B42" s="25"/>
      <c r="C42" s="4" t="s">
        <v>9</v>
      </c>
      <c r="D42" s="7">
        <v>4291</v>
      </c>
      <c r="E42" s="7">
        <v>4291</v>
      </c>
      <c r="F42" s="2">
        <f t="shared" si="3"/>
        <v>1</v>
      </c>
    </row>
    <row r="43" spans="1:6" x14ac:dyDescent="0.25">
      <c r="A43" s="9" t="s">
        <v>25</v>
      </c>
      <c r="B43" s="12" t="s">
        <v>66</v>
      </c>
      <c r="C43" s="3" t="s">
        <v>73</v>
      </c>
      <c r="D43" s="8">
        <f>SUM(D44:D46)</f>
        <v>579522.80000000005</v>
      </c>
      <c r="E43" s="8">
        <f>SUM(E44:E46)</f>
        <v>558696.6</v>
      </c>
      <c r="F43" s="2">
        <f t="shared" si="3"/>
        <v>0.96406319130153284</v>
      </c>
    </row>
    <row r="44" spans="1:6" x14ac:dyDescent="0.25">
      <c r="A44" s="17"/>
      <c r="B44" s="24"/>
      <c r="C44" s="4" t="s">
        <v>74</v>
      </c>
      <c r="D44" s="7">
        <v>369307</v>
      </c>
      <c r="E44" s="7">
        <v>357819.8</v>
      </c>
      <c r="F44" s="2">
        <f t="shared" si="3"/>
        <v>0.96889525516711028</v>
      </c>
    </row>
    <row r="45" spans="1:6" x14ac:dyDescent="0.25">
      <c r="A45" s="17"/>
      <c r="B45" s="24"/>
      <c r="C45" s="4" t="s">
        <v>6</v>
      </c>
      <c r="D45" s="7">
        <v>189949.9</v>
      </c>
      <c r="E45" s="7">
        <v>181577.60000000001</v>
      </c>
      <c r="F45" s="2">
        <f t="shared" si="3"/>
        <v>0.95592364091794735</v>
      </c>
    </row>
    <row r="46" spans="1:6" x14ac:dyDescent="0.25">
      <c r="A46" s="27"/>
      <c r="B46" s="28"/>
      <c r="C46" s="4" t="s">
        <v>9</v>
      </c>
      <c r="D46" s="7">
        <v>20265.900000000001</v>
      </c>
      <c r="E46" s="7">
        <v>19299.2</v>
      </c>
      <c r="F46" s="2">
        <f t="shared" si="3"/>
        <v>0.95229918237038569</v>
      </c>
    </row>
    <row r="47" spans="1:6" x14ac:dyDescent="0.25">
      <c r="A47" s="9" t="s">
        <v>26</v>
      </c>
      <c r="B47" s="12" t="s">
        <v>67</v>
      </c>
      <c r="C47" s="3" t="s">
        <v>73</v>
      </c>
      <c r="D47" s="8">
        <f>SUM(D48:D50)</f>
        <v>15530.8</v>
      </c>
      <c r="E47" s="8">
        <f>SUM(E48:E50)</f>
        <v>15459.8</v>
      </c>
      <c r="F47" s="2">
        <f t="shared" si="3"/>
        <v>0.99542843897287969</v>
      </c>
    </row>
    <row r="48" spans="1:6" x14ac:dyDescent="0.25">
      <c r="A48" s="17"/>
      <c r="B48" s="24"/>
      <c r="C48" s="4" t="s">
        <v>74</v>
      </c>
      <c r="D48" s="7">
        <v>8524</v>
      </c>
      <c r="E48" s="7">
        <v>8471.2999999999993</v>
      </c>
      <c r="F48" s="2">
        <f t="shared" si="3"/>
        <v>0.99381745659314868</v>
      </c>
    </row>
    <row r="49" spans="1:6" x14ac:dyDescent="0.25">
      <c r="A49" s="17"/>
      <c r="B49" s="24"/>
      <c r="C49" s="4" t="s">
        <v>6</v>
      </c>
      <c r="D49" s="7">
        <v>7006.8</v>
      </c>
      <c r="E49" s="7">
        <v>6988.5</v>
      </c>
      <c r="F49" s="2">
        <f t="shared" si="3"/>
        <v>0.9973882514129131</v>
      </c>
    </row>
    <row r="50" spans="1:6" x14ac:dyDescent="0.25">
      <c r="A50" s="27"/>
      <c r="B50" s="28"/>
      <c r="C50" s="4" t="s">
        <v>9</v>
      </c>
      <c r="D50" s="7">
        <v>0</v>
      </c>
      <c r="E50" s="7">
        <v>0</v>
      </c>
    </row>
    <row r="51" spans="1:6" x14ac:dyDescent="0.25">
      <c r="A51" s="9" t="s">
        <v>27</v>
      </c>
      <c r="B51" s="12" t="s">
        <v>69</v>
      </c>
      <c r="C51" s="3" t="s">
        <v>73</v>
      </c>
      <c r="D51" s="8">
        <f>SUM(D52:D54)</f>
        <v>43727.5</v>
      </c>
      <c r="E51" s="8">
        <f>SUM(E52:E54)</f>
        <v>31121</v>
      </c>
      <c r="F51" s="2">
        <f t="shared" si="3"/>
        <v>0.71170316162597902</v>
      </c>
    </row>
    <row r="52" spans="1:6" x14ac:dyDescent="0.25">
      <c r="A52" s="17"/>
      <c r="B52" s="24"/>
      <c r="C52" s="4" t="s">
        <v>74</v>
      </c>
      <c r="D52" s="7">
        <v>27491.9</v>
      </c>
      <c r="E52" s="7">
        <v>22769.7</v>
      </c>
      <c r="F52" s="2">
        <f t="shared" si="3"/>
        <v>0.82823304318726609</v>
      </c>
    </row>
    <row r="53" spans="1:6" x14ac:dyDescent="0.25">
      <c r="A53" s="17"/>
      <c r="B53" s="24"/>
      <c r="C53" s="4" t="s">
        <v>6</v>
      </c>
      <c r="D53" s="7">
        <v>3280.1</v>
      </c>
      <c r="E53" s="7">
        <v>1719</v>
      </c>
      <c r="F53" s="2">
        <f t="shared" si="3"/>
        <v>0.52406938812841075</v>
      </c>
    </row>
    <row r="54" spans="1:6" x14ac:dyDescent="0.25">
      <c r="A54" s="27"/>
      <c r="B54" s="28"/>
      <c r="C54" s="4" t="s">
        <v>9</v>
      </c>
      <c r="D54" s="7">
        <v>12955.5</v>
      </c>
      <c r="E54" s="7">
        <v>6632.3</v>
      </c>
      <c r="F54" s="2">
        <f t="shared" si="3"/>
        <v>0.51192929643780638</v>
      </c>
    </row>
    <row r="55" spans="1:6" x14ac:dyDescent="0.25">
      <c r="A55" s="9" t="s">
        <v>28</v>
      </c>
      <c r="B55" s="19" t="s">
        <v>70</v>
      </c>
      <c r="C55" s="3" t="s">
        <v>73</v>
      </c>
      <c r="D55" s="8">
        <f>SUM(D56:D58)</f>
        <v>2176.9</v>
      </c>
      <c r="E55" s="8">
        <f>SUM(E56:E58)</f>
        <v>2143.6</v>
      </c>
      <c r="F55" s="2">
        <f t="shared" si="3"/>
        <v>0.98470301805319482</v>
      </c>
    </row>
    <row r="56" spans="1:6" x14ac:dyDescent="0.25">
      <c r="A56" s="10"/>
      <c r="B56" s="22"/>
      <c r="C56" s="4" t="s">
        <v>74</v>
      </c>
      <c r="D56" s="7">
        <v>2176.9</v>
      </c>
      <c r="E56" s="7">
        <v>2143.6</v>
      </c>
      <c r="F56" s="2">
        <f t="shared" si="3"/>
        <v>0.98470301805319482</v>
      </c>
    </row>
    <row r="57" spans="1:6" x14ac:dyDescent="0.25">
      <c r="A57" s="10"/>
      <c r="B57" s="22"/>
      <c r="C57" s="4" t="s">
        <v>6</v>
      </c>
      <c r="D57" s="7">
        <v>0</v>
      </c>
      <c r="E57" s="7">
        <v>0</v>
      </c>
    </row>
    <row r="58" spans="1:6" x14ac:dyDescent="0.25">
      <c r="A58" s="11"/>
      <c r="B58" s="23"/>
      <c r="C58" s="4" t="s">
        <v>9</v>
      </c>
      <c r="D58" s="7">
        <v>0</v>
      </c>
      <c r="E58" s="7">
        <v>0</v>
      </c>
    </row>
    <row r="60" spans="1:6" x14ac:dyDescent="0.25">
      <c r="C60" s="3" t="s">
        <v>73</v>
      </c>
      <c r="D60" s="8">
        <f>SUM(D61:D63)</f>
        <v>6217268.2999999998</v>
      </c>
      <c r="E60" s="8">
        <f>SUM(E61:E63)</f>
        <v>5776349.1999999993</v>
      </c>
      <c r="F60" s="2">
        <f t="shared" ref="F60:F63" si="4">E60/D60</f>
        <v>0.92908153891315892</v>
      </c>
    </row>
    <row r="61" spans="1:6" x14ac:dyDescent="0.25">
      <c r="C61" s="4" t="s">
        <v>74</v>
      </c>
      <c r="D61" s="7">
        <f t="shared" ref="D61:E63" si="5">D4+D8+D12+D16+D20+D24+D28+D32+D36+D40+D44+D48+D52+D56</f>
        <v>3474079.8</v>
      </c>
      <c r="E61" s="7">
        <f t="shared" si="5"/>
        <v>3075933.4</v>
      </c>
      <c r="F61" s="2">
        <f t="shared" si="4"/>
        <v>0.88539514837857214</v>
      </c>
    </row>
    <row r="62" spans="1:6" x14ac:dyDescent="0.25">
      <c r="C62" s="4" t="s">
        <v>6</v>
      </c>
      <c r="D62" s="7">
        <f t="shared" si="5"/>
        <v>2685299</v>
      </c>
      <c r="E62" s="7">
        <f t="shared" si="5"/>
        <v>2649816.1999999993</v>
      </c>
      <c r="F62" s="2">
        <f t="shared" si="4"/>
        <v>0.98678627594171053</v>
      </c>
    </row>
    <row r="63" spans="1:6" x14ac:dyDescent="0.25">
      <c r="C63" s="4" t="s">
        <v>9</v>
      </c>
      <c r="D63" s="7">
        <f t="shared" si="5"/>
        <v>57889.5</v>
      </c>
      <c r="E63" s="7">
        <f t="shared" si="5"/>
        <v>50599.600000000006</v>
      </c>
      <c r="F63" s="2">
        <f t="shared" si="4"/>
        <v>0.87407215470853961</v>
      </c>
    </row>
    <row r="65" spans="4:5" x14ac:dyDescent="0.25">
      <c r="D65" s="6">
        <f>D3+D7+D11+D15+D19+D23+D27+D31+D35+D39+D43+D47+D51+D55</f>
        <v>6217268.2999999998</v>
      </c>
      <c r="E65" s="6">
        <f>E3+E7+E11+E15+E19+E23+E27+E31+E35+E39+E43+E47+E51+E55</f>
        <v>5776349.1999999993</v>
      </c>
    </row>
  </sheetData>
  <mergeCells count="28">
    <mergeCell ref="A51:A54"/>
    <mergeCell ref="B51:B54"/>
    <mergeCell ref="A55:A58"/>
    <mergeCell ref="B55:B58"/>
    <mergeCell ref="A47:A50"/>
    <mergeCell ref="B47:B50"/>
    <mergeCell ref="A43:A46"/>
    <mergeCell ref="B43:B46"/>
    <mergeCell ref="A39:A42"/>
    <mergeCell ref="B39:B42"/>
    <mergeCell ref="A35:A38"/>
    <mergeCell ref="B35:B38"/>
    <mergeCell ref="A31:A34"/>
    <mergeCell ref="B31:B34"/>
    <mergeCell ref="A27:A30"/>
    <mergeCell ref="B27:B30"/>
    <mergeCell ref="A23:A26"/>
    <mergeCell ref="B23:B26"/>
    <mergeCell ref="A7:A10"/>
    <mergeCell ref="B7:B10"/>
    <mergeCell ref="A3:A6"/>
    <mergeCell ref="B3:B6"/>
    <mergeCell ref="A19:A22"/>
    <mergeCell ref="B19:B22"/>
    <mergeCell ref="A15:A18"/>
    <mergeCell ref="B15:B18"/>
    <mergeCell ref="A11:A14"/>
    <mergeCell ref="B11:B14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Эффективность </vt:lpstr>
      <vt:lpstr>Лист3</vt:lpstr>
      <vt:lpstr>'Эффективность 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Бидненко Светлана Рэшидовна</cp:lastModifiedBy>
  <cp:lastPrinted>2024-04-19T07:38:09Z</cp:lastPrinted>
  <dcterms:created xsi:type="dcterms:W3CDTF">2015-02-21T18:59:30Z</dcterms:created>
  <dcterms:modified xsi:type="dcterms:W3CDTF">2024-05-17T09:40:12Z</dcterms:modified>
</cp:coreProperties>
</file>