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Эффективность " sheetId="6" r:id="rId1"/>
    <sheet name="Лист3" sheetId="3" r:id="rId2"/>
  </sheets>
  <definedNames>
    <definedName name="_xlnm.Print_Area" localSheetId="0">'Эффективность '!$A$1:$H$373</definedName>
  </definedNames>
  <calcPr calcId="125725"/>
</workbook>
</file>

<file path=xl/calcChain.xml><?xml version="1.0" encoding="utf-8"?>
<calcChain xmlns="http://schemas.openxmlformats.org/spreadsheetml/2006/main">
  <c r="G186" i="6"/>
  <c r="G192"/>
  <c r="D197"/>
  <c r="G201"/>
  <c r="G190"/>
  <c r="G199"/>
  <c r="G196"/>
  <c r="G195"/>
  <c r="G194"/>
  <c r="G198"/>
  <c r="G183" s="1"/>
  <c r="G193"/>
  <c r="G200"/>
  <c r="F197"/>
  <c r="E197"/>
  <c r="F192"/>
  <c r="E192"/>
  <c r="G191"/>
  <c r="G189"/>
  <c r="G188"/>
  <c r="F187"/>
  <c r="E187"/>
  <c r="D187"/>
  <c r="F182"/>
  <c r="G272"/>
  <c r="F272"/>
  <c r="D277"/>
  <c r="G277"/>
  <c r="F277"/>
  <c r="E277"/>
  <c r="G281"/>
  <c r="G275"/>
  <c r="G280"/>
  <c r="G279"/>
  <c r="G276"/>
  <c r="G274"/>
  <c r="G278"/>
  <c r="G273" s="1"/>
  <c r="F282"/>
  <c r="D287"/>
  <c r="G287" s="1"/>
  <c r="D292"/>
  <c r="G296"/>
  <c r="G295"/>
  <c r="G285" s="1"/>
  <c r="G294"/>
  <c r="G289"/>
  <c r="G284" s="1"/>
  <c r="G293"/>
  <c r="G291"/>
  <c r="G288"/>
  <c r="F292"/>
  <c r="E292"/>
  <c r="F287"/>
  <c r="E287"/>
  <c r="F202"/>
  <c r="D212"/>
  <c r="D217"/>
  <c r="G221"/>
  <c r="G216"/>
  <c r="G215"/>
  <c r="G224"/>
  <c r="G219"/>
  <c r="G211"/>
  <c r="G210"/>
  <c r="G209"/>
  <c r="G208"/>
  <c r="F207"/>
  <c r="E207"/>
  <c r="D207"/>
  <c r="G214"/>
  <c r="G213"/>
  <c r="F212"/>
  <c r="E212"/>
  <c r="G220"/>
  <c r="G218"/>
  <c r="F217"/>
  <c r="E217"/>
  <c r="G226"/>
  <c r="G225"/>
  <c r="G223"/>
  <c r="F222"/>
  <c r="E222"/>
  <c r="D222"/>
  <c r="F167"/>
  <c r="D172"/>
  <c r="E177"/>
  <c r="D177"/>
  <c r="G176"/>
  <c r="G180"/>
  <c r="G175"/>
  <c r="G174"/>
  <c r="G173"/>
  <c r="G168" s="1"/>
  <c r="F172"/>
  <c r="E172"/>
  <c r="G164"/>
  <c r="G159" s="1"/>
  <c r="F137"/>
  <c r="D152"/>
  <c r="E147"/>
  <c r="D147"/>
  <c r="F142"/>
  <c r="E142"/>
  <c r="D142"/>
  <c r="G156"/>
  <c r="G151"/>
  <c r="G146"/>
  <c r="G155"/>
  <c r="G150"/>
  <c r="G145"/>
  <c r="G154"/>
  <c r="G149"/>
  <c r="G144"/>
  <c r="G143"/>
  <c r="F102"/>
  <c r="F107"/>
  <c r="E107"/>
  <c r="D107"/>
  <c r="F112"/>
  <c r="E112"/>
  <c r="D112"/>
  <c r="G116"/>
  <c r="G111"/>
  <c r="G110"/>
  <c r="G114"/>
  <c r="G109"/>
  <c r="G108"/>
  <c r="F94"/>
  <c r="F98"/>
  <c r="E98"/>
  <c r="D98"/>
  <c r="F62"/>
  <c r="E87"/>
  <c r="D87"/>
  <c r="D67"/>
  <c r="F82"/>
  <c r="E82"/>
  <c r="D82"/>
  <c r="D77"/>
  <c r="G86"/>
  <c r="F77"/>
  <c r="E77"/>
  <c r="G81"/>
  <c r="F72"/>
  <c r="E72"/>
  <c r="D72"/>
  <c r="G76"/>
  <c r="F67"/>
  <c r="E67"/>
  <c r="G80"/>
  <c r="G84"/>
  <c r="G79"/>
  <c r="G74"/>
  <c r="G69"/>
  <c r="G88"/>
  <c r="G91"/>
  <c r="G90"/>
  <c r="G89"/>
  <c r="G83"/>
  <c r="G78"/>
  <c r="G68"/>
  <c r="F27"/>
  <c r="D32"/>
  <c r="E37"/>
  <c r="D37"/>
  <c r="G101"/>
  <c r="G97" s="1"/>
  <c r="G100"/>
  <c r="G96" s="1"/>
  <c r="G99"/>
  <c r="G95" s="1"/>
  <c r="F42"/>
  <c r="D57"/>
  <c r="G60"/>
  <c r="G49"/>
  <c r="G58"/>
  <c r="G53"/>
  <c r="F162"/>
  <c r="E162"/>
  <c r="D162"/>
  <c r="F157"/>
  <c r="F87"/>
  <c r="F57"/>
  <c r="E57"/>
  <c r="F52"/>
  <c r="E52"/>
  <c r="D52"/>
  <c r="F47"/>
  <c r="E47"/>
  <c r="D47"/>
  <c r="G35"/>
  <c r="G39"/>
  <c r="G33"/>
  <c r="F37"/>
  <c r="F32"/>
  <c r="E32"/>
  <c r="F117"/>
  <c r="D132"/>
  <c r="E132"/>
  <c r="F132"/>
  <c r="G136"/>
  <c r="D127"/>
  <c r="G131"/>
  <c r="E122"/>
  <c r="D122"/>
  <c r="G126"/>
  <c r="G134"/>
  <c r="G129"/>
  <c r="G124"/>
  <c r="G125"/>
  <c r="G130"/>
  <c r="G135"/>
  <c r="G133"/>
  <c r="G123"/>
  <c r="G128"/>
  <c r="F127"/>
  <c r="E127"/>
  <c r="F122"/>
  <c r="F152"/>
  <c r="E152"/>
  <c r="F147"/>
  <c r="F227"/>
  <c r="F237"/>
  <c r="D232"/>
  <c r="F232"/>
  <c r="E232"/>
  <c r="G233"/>
  <c r="G228" s="1"/>
  <c r="G234"/>
  <c r="G229" s="1"/>
  <c r="G235"/>
  <c r="G230" s="1"/>
  <c r="G236"/>
  <c r="G231" s="1"/>
  <c r="G185" l="1"/>
  <c r="G184"/>
  <c r="G187"/>
  <c r="G197"/>
  <c r="G283"/>
  <c r="G282"/>
  <c r="G104"/>
  <c r="G204"/>
  <c r="G286"/>
  <c r="G292"/>
  <c r="G203"/>
  <c r="G206"/>
  <c r="G205"/>
  <c r="G207"/>
  <c r="G217"/>
  <c r="G212"/>
  <c r="G222"/>
  <c r="G107"/>
  <c r="G172"/>
  <c r="G142"/>
  <c r="G137" s="1"/>
  <c r="G152"/>
  <c r="G106"/>
  <c r="G177"/>
  <c r="G139"/>
  <c r="G147"/>
  <c r="G140"/>
  <c r="G169"/>
  <c r="G77"/>
  <c r="G72"/>
  <c r="G87"/>
  <c r="G64"/>
  <c r="G127"/>
  <c r="G67"/>
  <c r="G66"/>
  <c r="G122"/>
  <c r="G132"/>
  <c r="G120"/>
  <c r="G119"/>
  <c r="G98"/>
  <c r="G94" s="1"/>
  <c r="G232"/>
  <c r="G227" s="1"/>
  <c r="G37"/>
  <c r="G32"/>
  <c r="G121"/>
  <c r="G118"/>
  <c r="F7"/>
  <c r="F22"/>
  <c r="E22"/>
  <c r="D22"/>
  <c r="F12"/>
  <c r="F17"/>
  <c r="E17"/>
  <c r="D17"/>
  <c r="E12"/>
  <c r="D12"/>
  <c r="G16"/>
  <c r="G15"/>
  <c r="G14"/>
  <c r="G13"/>
  <c r="G182" l="1"/>
  <c r="G202"/>
  <c r="G167"/>
  <c r="G117"/>
  <c r="G27"/>
  <c r="G12"/>
  <c r="G17"/>
  <c r="G22"/>
  <c r="G24"/>
  <c r="G19"/>
  <c r="F302"/>
  <c r="E302"/>
  <c r="D302"/>
  <c r="G303"/>
  <c r="G298" s="1"/>
  <c r="G304"/>
  <c r="G299" s="1"/>
  <c r="G306"/>
  <c r="G301" s="1"/>
  <c r="G305"/>
  <c r="G300" s="1"/>
  <c r="G7" l="1"/>
  <c r="G302"/>
  <c r="G297" s="1"/>
  <c r="G9"/>
  <c r="D242"/>
  <c r="F242"/>
  <c r="E242"/>
  <c r="F247"/>
  <c r="E247"/>
  <c r="D247"/>
  <c r="G251"/>
  <c r="F252"/>
  <c r="E252"/>
  <c r="D252"/>
  <c r="G255"/>
  <c r="G249"/>
  <c r="G250"/>
  <c r="G248"/>
  <c r="G246"/>
  <c r="G245"/>
  <c r="G244"/>
  <c r="G243"/>
  <c r="G252" l="1"/>
  <c r="G240"/>
  <c r="G242"/>
  <c r="G241"/>
  <c r="G247"/>
  <c r="F257"/>
  <c r="F262"/>
  <c r="E262"/>
  <c r="D262"/>
  <c r="F267"/>
  <c r="E267"/>
  <c r="D267"/>
  <c r="G269"/>
  <c r="G264"/>
  <c r="G237" l="1"/>
  <c r="G267"/>
  <c r="G262"/>
  <c r="G259"/>
  <c r="E63" i="3"/>
  <c r="F63" s="1"/>
  <c r="E62"/>
  <c r="E61"/>
  <c r="D63"/>
  <c r="D62"/>
  <c r="D61"/>
  <c r="F56"/>
  <c r="E55"/>
  <c r="D55"/>
  <c r="F54"/>
  <c r="F53"/>
  <c r="F52"/>
  <c r="E51"/>
  <c r="D51"/>
  <c r="F49"/>
  <c r="F48"/>
  <c r="E47"/>
  <c r="D47"/>
  <c r="F46"/>
  <c r="F45"/>
  <c r="F44"/>
  <c r="E43"/>
  <c r="D43"/>
  <c r="F42"/>
  <c r="F41"/>
  <c r="F40"/>
  <c r="E39"/>
  <c r="D39"/>
  <c r="F36"/>
  <c r="E35"/>
  <c r="D35"/>
  <c r="F32"/>
  <c r="E31"/>
  <c r="D31"/>
  <c r="F29"/>
  <c r="F28"/>
  <c r="E27"/>
  <c r="D27"/>
  <c r="F25"/>
  <c r="F24"/>
  <c r="E23"/>
  <c r="D23"/>
  <c r="F22"/>
  <c r="F21"/>
  <c r="F20"/>
  <c r="E19"/>
  <c r="D19"/>
  <c r="F16"/>
  <c r="E15"/>
  <c r="D15"/>
  <c r="F13"/>
  <c r="F12"/>
  <c r="E11"/>
  <c r="D11"/>
  <c r="F10"/>
  <c r="F9"/>
  <c r="F8"/>
  <c r="F5"/>
  <c r="F4"/>
  <c r="E7"/>
  <c r="D7"/>
  <c r="F3"/>
  <c r="G271" i="6"/>
  <c r="G270"/>
  <c r="G268"/>
  <c r="G266"/>
  <c r="G265"/>
  <c r="G263"/>
  <c r="G254"/>
  <c r="G239" s="1"/>
  <c r="G253"/>
  <c r="G238" s="1"/>
  <c r="G166"/>
  <c r="G161" s="1"/>
  <c r="G165"/>
  <c r="G160" s="1"/>
  <c r="G163"/>
  <c r="G158" s="1"/>
  <c r="G153"/>
  <c r="G148"/>
  <c r="G115"/>
  <c r="G113"/>
  <c r="G103" s="1"/>
  <c r="F93"/>
  <c r="E93"/>
  <c r="D93"/>
  <c r="B93"/>
  <c r="F92"/>
  <c r="B92"/>
  <c r="G85"/>
  <c r="G75"/>
  <c r="G73"/>
  <c r="G63" s="1"/>
  <c r="G70"/>
  <c r="G61"/>
  <c r="G59"/>
  <c r="G56"/>
  <c r="G55"/>
  <c r="G54"/>
  <c r="G51"/>
  <c r="G50"/>
  <c r="G48"/>
  <c r="G43" s="1"/>
  <c r="G41"/>
  <c r="G40"/>
  <c r="G38"/>
  <c r="G36"/>
  <c r="G34"/>
  <c r="G26"/>
  <c r="G25"/>
  <c r="G23"/>
  <c r="G21"/>
  <c r="G20"/>
  <c r="G18"/>
  <c r="D65" i="3" l="1"/>
  <c r="D60"/>
  <c r="G138" i="6"/>
  <c r="G46"/>
  <c r="G65"/>
  <c r="G44"/>
  <c r="G105"/>
  <c r="F61" i="3"/>
  <c r="G45" i="6"/>
  <c r="G31"/>
  <c r="F62" i="3"/>
  <c r="G257" i="6"/>
  <c r="G10"/>
  <c r="G141"/>
  <c r="G260"/>
  <c r="G261"/>
  <c r="G29"/>
  <c r="G30"/>
  <c r="G8"/>
  <c r="G258"/>
  <c r="E65" i="3"/>
  <c r="G57" i="6"/>
  <c r="E60" i="3"/>
  <c r="F60" s="1"/>
  <c r="G28" i="6"/>
  <c r="G52"/>
  <c r="G162"/>
  <c r="G157" s="1"/>
  <c r="G11"/>
  <c r="F55" i="3"/>
  <c r="F35"/>
  <c r="F43"/>
  <c r="F39"/>
  <c r="F47"/>
  <c r="F51"/>
  <c r="F27"/>
  <c r="F31"/>
  <c r="F19"/>
  <c r="F23"/>
  <c r="F11"/>
  <c r="F15"/>
  <c r="F7"/>
  <c r="G82" i="6"/>
  <c r="G62" s="1"/>
  <c r="G47"/>
  <c r="G112"/>
  <c r="G93"/>
  <c r="G92" s="1"/>
  <c r="G42" l="1"/>
  <c r="G102"/>
</calcChain>
</file>

<file path=xl/sharedStrings.xml><?xml version="1.0" encoding="utf-8"?>
<sst xmlns="http://schemas.openxmlformats.org/spreadsheetml/2006/main" count="645" uniqueCount="185">
  <si>
    <t>Наименование программы (подпрограммы)</t>
  </si>
  <si>
    <t>1.</t>
  </si>
  <si>
    <t>1.1.</t>
  </si>
  <si>
    <t>1.2.</t>
  </si>
  <si>
    <t>1.3.</t>
  </si>
  <si>
    <t>ВЦП «Обеспечение развития физической культуры и спорта в городе Апатиты через эффективное выполнение муниципальных функций»</t>
  </si>
  <si>
    <t>ОБ</t>
  </si>
  <si>
    <t>2.</t>
  </si>
  <si>
    <t>МП «Развитие образования»</t>
  </si>
  <si>
    <t>ВЦП «Организация предоставления услуг (работ) в сфере общего, дополнительного и дошкольного образования»</t>
  </si>
  <si>
    <t>ФБ</t>
  </si>
  <si>
    <t>2.1.</t>
  </si>
  <si>
    <t>2.2.</t>
  </si>
  <si>
    <t xml:space="preserve">Подпрограмма «Формирование здорового образа жизни населения города и развитие спорта»
</t>
  </si>
  <si>
    <t>Подпрограмма «Развитие спортивной инфраструктуры»</t>
  </si>
  <si>
    <t>Подпрограмма «Развитие дошкольного, общего и дополнительного образования детей»</t>
  </si>
  <si>
    <t>3.</t>
  </si>
  <si>
    <t>МП «Развитие культуры и молодежной политики, сохранение культурного наследия города»</t>
  </si>
  <si>
    <t>3.1.</t>
  </si>
  <si>
    <t>Подпрограмма "Культура"</t>
  </si>
  <si>
    <t>3.2.</t>
  </si>
  <si>
    <t>3.3.</t>
  </si>
  <si>
    <t>ВЦП «Услуги учреждений культуры и молодежной политики»</t>
  </si>
  <si>
    <t>Подпрограмма «Вовлечение молодежи в социальную практику»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</si>
  <si>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</si>
  <si>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</si>
  <si>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</si>
  <si>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</si>
  <si>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</si>
  <si>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</si>
  <si>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</si>
  <si>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</si>
  <si>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</si>
  <si>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</si>
  <si>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</si>
  <si>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4.1.</t>
  </si>
  <si>
    <t>4.3.</t>
  </si>
  <si>
    <t>5.1.</t>
  </si>
  <si>
    <t>6.1.</t>
  </si>
  <si>
    <t>6.2.</t>
  </si>
  <si>
    <t>7.1.</t>
  </si>
  <si>
    <t>7.2.</t>
  </si>
  <si>
    <t>7.3.</t>
  </si>
  <si>
    <t>8.1.</t>
  </si>
  <si>
    <t>9.1.</t>
  </si>
  <si>
    <t>10.1.</t>
  </si>
  <si>
    <t>11.1.</t>
  </si>
  <si>
    <t>4.2.</t>
  </si>
  <si>
    <t>Подпрограмма "Поддержка развития товариществ собственников жилья"</t>
  </si>
  <si>
    <t>Подпрограмма "Подготовка объектов и систем жизнеобеспечения к работе в отопительный период"</t>
  </si>
  <si>
    <t xml:space="preserve"> -</t>
  </si>
  <si>
    <t>Критерии оценки эффективности</t>
  </si>
  <si>
    <t>Степень реализации мероприятий (См)</t>
  </si>
  <si>
    <t>Степень достижения целевых показателей (Сп)</t>
  </si>
  <si>
    <t>Оценка эффективности</t>
  </si>
  <si>
    <t>удовлетворительная</t>
  </si>
  <si>
    <t>эффективная</t>
  </si>
  <si>
    <t>неэффективная</t>
  </si>
  <si>
    <t>недостаточно эффективная</t>
  </si>
  <si>
    <t>4.4.</t>
  </si>
  <si>
    <t>Аналитическая ведомственная целевая программа "Обеспечение деятельности муниципального казенного учреждения "Служба гражданской защиты города Апатиты"</t>
  </si>
  <si>
    <t>4.5.</t>
  </si>
  <si>
    <t>Подпрограмма «Противодействие экстремизму и профилактика терроризма на территории муниципального образования город Апатиты»</t>
  </si>
  <si>
    <t>подпрограмма не осуществлялась</t>
  </si>
  <si>
    <r>
      <t xml:space="preserve"> </t>
    </r>
    <r>
      <rPr>
        <sz val="9"/>
        <rFont val="Calibri"/>
        <family val="2"/>
        <charset val="204"/>
        <scheme val="minor"/>
      </rPr>
      <t>№ п/п</t>
    </r>
  </si>
  <si>
    <r>
      <t>Показатель эффективности реализации муниципальной программы (подпрограммы)</t>
    </r>
    <r>
      <rPr>
        <vertAlign val="superscript"/>
        <sz val="12"/>
        <rFont val="Calibri"/>
        <family val="2"/>
        <charset val="204"/>
        <scheme val="minor"/>
      </rPr>
      <t>2</t>
    </r>
  </si>
  <si>
    <r>
      <t>Степень освоения бюджетных средств (Сб)</t>
    </r>
    <r>
      <rPr>
        <vertAlign val="superscript"/>
        <sz val="12"/>
        <rFont val="Calibri"/>
        <family val="2"/>
        <charset val="204"/>
        <scheme val="minor"/>
      </rPr>
      <t>1</t>
    </r>
  </si>
  <si>
    <t xml:space="preserve">Эффективность реализации муниципальной программы в целом определяется путем одновременного анализа среднеарифметических значений ДИП и ПФ подпрограмм и ВЦП.
В отчете о выполнении муниципальной программы за весь период ее реализации приводится средняя оценка за все годы реализации муниципальной программы, определяемая как среднеарифметическое оценок эффективности муниципальной программы по каждому году реализации муниципальной программы.
</t>
  </si>
  <si>
    <t>Приложение № 4</t>
  </si>
  <si>
    <t>МП "Развитие физической культуры и спорта"</t>
  </si>
  <si>
    <t>МП "Обеспечение общественного порядка и безопасности населения города"</t>
  </si>
  <si>
    <t>Подпрограмма "Профилактика безнадзорности и правонарушений несовершеннолетних" на 2014-2016 годы</t>
  </si>
  <si>
    <t>Подпрограмма "профилактика наркомании, алкоголизма и упортебления табака в молодежной среде города Апатиты"</t>
  </si>
  <si>
    <t>Подпрограмма "Обеспечение безопасности и защиты населения в области гражданской обороны и чрезвычайных ситуаций"</t>
  </si>
  <si>
    <t>МП "Обеспечение доступным и комфортным жильем и коммунальными услугами населения города"</t>
  </si>
  <si>
    <t>Подпрограмма "Поддержка и стимулирование жилищного строительства в городе Апатиты"</t>
  </si>
  <si>
    <t>Подпрограмма "Обеспечение жильем молодых семей города Апатиты"</t>
  </si>
  <si>
    <t>МП "Развитие транспортной системы"</t>
  </si>
  <si>
    <t>Подпрограмма "Развитие дорожного хозяйства"</t>
  </si>
  <si>
    <t>Подпрограмма "Транспортное обслуживание населения"</t>
  </si>
  <si>
    <t>Подпрограмма "Безопасность дорожного движения и снижение дорожно-транспортного травматизма на территории муниципального образования город Апатиты"</t>
  </si>
  <si>
    <t>МП "Обеспечение комфортной среды проживания населения города"</t>
  </si>
  <si>
    <t>Подпрограмма "Организация сферы ритуальных услуг"</t>
  </si>
  <si>
    <t>Подпрограмма "Наружное уличное освещение и содержание сетей энергоснабжения"</t>
  </si>
  <si>
    <t>Подпрограмма "Развитие системы комплексного благоустройства"</t>
  </si>
  <si>
    <t>МП "Энергоэффективность и развитие энергетики"</t>
  </si>
  <si>
    <t>Подпрограмма "Энергосбережение и повышение энергетической эффективности"</t>
  </si>
  <si>
    <t>МП "Создание условий для развития жилищно-коммунального хозяйства"</t>
  </si>
  <si>
    <t>МП Развитие экономического потенциала"</t>
  </si>
  <si>
    <t>Подпрограмма "Поддержка малого и среднего предпринимательства"</t>
  </si>
  <si>
    <t>Подпрограмма "Формирование благоприятной инвестиционной среды"</t>
  </si>
  <si>
    <t>Подпрограмма "Развите туризма"</t>
  </si>
  <si>
    <t>МП "Муниципальное управление"</t>
  </si>
  <si>
    <t>11.2.</t>
  </si>
  <si>
    <t>11.3.</t>
  </si>
  <si>
    <t>МП "Управление муниципальными финансами"</t>
  </si>
  <si>
    <t>Подпрограмма " Повышение эффективности бюджетных расходов</t>
  </si>
  <si>
    <t>МП "Организация предоставления государственных и муниципальных услуг"</t>
  </si>
  <si>
    <t>МП "Социальная поддержка граждан и социально-ориентированных организаций"</t>
  </si>
  <si>
    <t>Подпрограмма "Социальная поддержка отдельных категорий граждан"</t>
  </si>
  <si>
    <t xml:space="preserve">Подпрограмма "Социальная поддержка социально-ориентированных организаций" </t>
  </si>
  <si>
    <t>всего</t>
  </si>
  <si>
    <t>МБ</t>
  </si>
  <si>
    <t>бюджет</t>
  </si>
  <si>
    <t>кассовый</t>
  </si>
  <si>
    <t>16.</t>
  </si>
  <si>
    <t>2017-2020</t>
  </si>
  <si>
    <t>16.1.</t>
  </si>
  <si>
    <t>15.</t>
  </si>
  <si>
    <t>МП "Информационное общество"</t>
  </si>
  <si>
    <t>Подпрограмма 1 "Развитие современной информационной и телекоммуникационной инфраструктуры органов местного самоуправления»</t>
  </si>
  <si>
    <t>Подпрограмма 2 «Развитие системы  предоставления государственных и муниципальных услуг по принципу «одного окна»</t>
  </si>
  <si>
    <t>АВЦП "Обеспечение деятельности МКУ "Многофункциональный центр предоставления государственных и муниципальных услуг города Апатиты"</t>
  </si>
  <si>
    <t>15.1.</t>
  </si>
  <si>
    <t>15.2.</t>
  </si>
  <si>
    <t>недостаточно эффективна</t>
  </si>
  <si>
    <t>МП "Противодействие терроризму м профилактика экстремизма в области межэтнических и межконфессиональных отношений на  территории муниципального образования город Апатиты"</t>
  </si>
  <si>
    <t xml:space="preserve"> Подпрограмма «Профилактика терроризма и экстремизма на территории муниципального образования город Апатиты с подведомственной территорией Мурманской области»</t>
  </si>
  <si>
    <t>0,330/1,000</t>
  </si>
  <si>
    <r>
      <t>эффективная</t>
    </r>
    <r>
      <rPr>
        <vertAlign val="superscript"/>
        <sz val="10"/>
        <color rgb="FF0000CC"/>
        <rFont val="Calibri"/>
        <family val="2"/>
        <charset val="204"/>
        <scheme val="minor"/>
      </rPr>
      <t>2</t>
    </r>
  </si>
  <si>
    <t>0,646/1,000</t>
  </si>
  <si>
    <t>0,131/1,000</t>
  </si>
  <si>
    <r>
      <t>удовлетворительная</t>
    </r>
    <r>
      <rPr>
        <vertAlign val="superscript"/>
        <sz val="10"/>
        <color rgb="FF0000CC"/>
        <rFont val="Calibri"/>
        <family val="2"/>
        <charset val="204"/>
        <scheme val="minor"/>
      </rPr>
      <t>2</t>
    </r>
  </si>
  <si>
    <t>14.1.</t>
  </si>
  <si>
    <t>0,755/0,998</t>
  </si>
  <si>
    <t>0,787/0,999</t>
  </si>
  <si>
    <t>0,883/0,996</t>
  </si>
  <si>
    <t>0,902/0,968</t>
  </si>
  <si>
    <t>0,992/0,999</t>
  </si>
  <si>
    <t>0,725/0,964</t>
  </si>
  <si>
    <t>0,935/0,964</t>
  </si>
  <si>
    <t>0,737/0,739</t>
  </si>
  <si>
    <t>0,822/0,969</t>
  </si>
  <si>
    <r>
      <t>эффективная</t>
    </r>
    <r>
      <rPr>
        <b/>
        <vertAlign val="superscript"/>
        <sz val="10"/>
        <color rgb="FF0000CC"/>
        <rFont val="Calibri"/>
        <family val="2"/>
        <charset val="204"/>
        <scheme val="minor"/>
      </rPr>
      <t>2</t>
    </r>
  </si>
  <si>
    <t>0,869/0,927</t>
  </si>
  <si>
    <t>0,917/0,963</t>
  </si>
  <si>
    <t>МП «Охрана окружающей среды»</t>
  </si>
  <si>
    <t>Подпрограмма  «Обеспечение экологической безопасности»</t>
  </si>
  <si>
    <t>0,750/0,926</t>
  </si>
  <si>
    <t>0,974/0,986</t>
  </si>
  <si>
    <t>0,996/0,998</t>
  </si>
  <si>
    <t>0,538/0,958</t>
  </si>
  <si>
    <t>удовлетвортельная</t>
  </si>
  <si>
    <t xml:space="preserve"> -/0,976</t>
  </si>
  <si>
    <r>
      <t>недостаточно эффективная</t>
    </r>
    <r>
      <rPr>
        <vertAlign val="superscript"/>
        <sz val="10"/>
        <color rgb="FF0000CC"/>
        <rFont val="Calibri"/>
        <family val="2"/>
        <charset val="204"/>
        <scheme val="minor"/>
      </rPr>
      <t>2</t>
    </r>
  </si>
  <si>
    <t>0,906/0,936</t>
  </si>
  <si>
    <t>0,930/0,997</t>
  </si>
  <si>
    <t>0,974/0,993</t>
  </si>
  <si>
    <t>0,811/0,844</t>
  </si>
  <si>
    <t>0,627/0,877</t>
  </si>
  <si>
    <t>0,865/0,877</t>
  </si>
  <si>
    <t>0,784/0,830</t>
  </si>
  <si>
    <t>0,659/0,676</t>
  </si>
  <si>
    <t>8.2.</t>
  </si>
  <si>
    <t>8.3.</t>
  </si>
  <si>
    <t xml:space="preserve"> - </t>
  </si>
  <si>
    <t>10..2.</t>
  </si>
  <si>
    <t>12.2.</t>
  </si>
  <si>
    <t>12.1.</t>
  </si>
  <si>
    <t>12.3.</t>
  </si>
  <si>
    <t>Аналитическая ведомственная целевая программа «Развитие архивного дела на территории муниципального образования город Апатиты с подведомственной территорией Мурманской области»</t>
  </si>
  <si>
    <t xml:space="preserve">Аналитическая ведомственная целевая программа «Обеспечение деятельности Администрации муниципального образования город Апатиты с подведомственной территорией Мурманской области» </t>
  </si>
  <si>
    <t xml:space="preserve">Аналитическая ведомственная целевая  программа «Обеспечение деятельности муниципального казенного учреждения города Апатиты "Управление материально-технического обеспечения деятельности органов местного самоуправления города Апатиты» </t>
  </si>
  <si>
    <t>Ведомственная целевая  программа «Обеспечение деятельности муниципального бюджетного учреждения «Централизованная бухгалтерия Администрации города Апатиты»</t>
  </si>
  <si>
    <t>12.4.</t>
  </si>
  <si>
    <t>0,964/0,966</t>
  </si>
  <si>
    <t>0,959/0,966</t>
  </si>
  <si>
    <t>13.1.</t>
  </si>
  <si>
    <t>14.2.</t>
  </si>
  <si>
    <t>14.3.</t>
  </si>
  <si>
    <t>МП "Территориальное планирование и обеспечение градостроительной деятельности на территории муниципального образования город Апатиты с подведомственной территорией Мурманской области"</t>
  </si>
  <si>
    <t>Подпрограмма "Обеспечение градостроиельной деятельности"</t>
  </si>
  <si>
    <t>17.</t>
  </si>
  <si>
    <t>17.1.</t>
  </si>
  <si>
    <t>17.2.</t>
  </si>
  <si>
    <t>МП "Управление муниципальным имуществом и земельными ресурсами на территории муниципального образования город Апатиты с подведомственной территорией Мурманской области"</t>
  </si>
  <si>
    <t>Подпрограмма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</si>
  <si>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АВЦП "Обеспечение деятельности Муниципального казенного учреждения города Апатиты "Управление городского хозяйства"</t>
  </si>
  <si>
    <t>0,790/0,986</t>
  </si>
  <si>
    <t>0,990/0,993</t>
  </si>
  <si>
    <t>0,972/0,992</t>
  </si>
  <si>
    <t>0,990/0,994</t>
  </si>
  <si>
    <t>18.</t>
  </si>
  <si>
    <t>18.1.</t>
  </si>
  <si>
    <t>Оценка эффективности муниципальных программ города Апатиты за 2017-2020 годы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</si>
</sst>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vertAlign val="superscript"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0000CC"/>
      <name val="Calibri"/>
      <family val="2"/>
      <charset val="204"/>
      <scheme val="minor"/>
    </font>
    <font>
      <sz val="11"/>
      <color rgb="FF0000CC"/>
      <name val="Calibri"/>
      <family val="2"/>
      <charset val="204"/>
      <scheme val="minor"/>
    </font>
    <font>
      <b/>
      <sz val="10"/>
      <color rgb="FF0000CC"/>
      <name val="Calibri"/>
      <family val="2"/>
      <charset val="204"/>
      <scheme val="minor"/>
    </font>
    <font>
      <b/>
      <sz val="11"/>
      <color rgb="FF0000CC"/>
      <name val="Calibri"/>
      <family val="2"/>
      <charset val="204"/>
      <scheme val="minor"/>
    </font>
    <font>
      <b/>
      <sz val="12"/>
      <color rgb="FF0000CC"/>
      <name val="Calibri"/>
      <family val="2"/>
      <charset val="204"/>
      <scheme val="minor"/>
    </font>
    <font>
      <b/>
      <u/>
      <sz val="12"/>
      <color rgb="FF0000CC"/>
      <name val="Calibri"/>
      <family val="2"/>
      <charset val="204"/>
      <scheme val="minor"/>
    </font>
    <font>
      <sz val="12"/>
      <color rgb="FF0000CC"/>
      <name val="Calibri"/>
      <family val="2"/>
      <charset val="204"/>
      <scheme val="minor"/>
    </font>
    <font>
      <vertAlign val="superscript"/>
      <sz val="10"/>
      <color rgb="FF0000CC"/>
      <name val="Calibri"/>
      <family val="2"/>
      <charset val="204"/>
      <scheme val="minor"/>
    </font>
    <font>
      <b/>
      <vertAlign val="superscript"/>
      <sz val="10"/>
      <color rgb="FF0000CC"/>
      <name val="Calibri"/>
      <family val="2"/>
      <charset val="204"/>
      <scheme val="minor"/>
    </font>
    <font>
      <sz val="9"/>
      <color rgb="FF0000CC"/>
      <name val="Calibri"/>
      <family val="2"/>
      <charset val="204"/>
      <scheme val="minor"/>
    </font>
    <font>
      <b/>
      <sz val="9"/>
      <color rgb="FF0000CC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/>
    <xf numFmtId="166" fontId="6" fillId="2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/>
    <xf numFmtId="166" fontId="3" fillId="3" borderId="2" xfId="1" applyNumberFormat="1" applyFont="1" applyFill="1" applyBorder="1" applyAlignment="1">
      <alignment horizontal="center" vertical="center" wrapText="1"/>
    </xf>
    <xf numFmtId="10" fontId="0" fillId="0" borderId="0" xfId="0" applyNumberFormat="1"/>
    <xf numFmtId="164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165" fontId="0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14" fillId="0" borderId="1" xfId="0" applyFont="1" applyBorder="1" applyAlignment="1">
      <alignment horizontal="left" vertical="center" wrapText="1"/>
    </xf>
    <xf numFmtId="166" fontId="14" fillId="2" borderId="1" xfId="1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166" fontId="14" fillId="2" borderId="0" xfId="1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6" fontId="14" fillId="0" borderId="1" xfId="1" applyNumberFormat="1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6" fontId="14" fillId="0" borderId="9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/>
    <xf numFmtId="0" fontId="0" fillId="0" borderId="4" xfId="0" applyFont="1" applyFill="1" applyBorder="1"/>
    <xf numFmtId="16" fontId="14" fillId="0" borderId="2" xfId="0" applyNumberFormat="1" applyFont="1" applyBorder="1" applyAlignment="1">
      <alignment horizontal="center" vertical="center" wrapText="1"/>
    </xf>
    <xf numFmtId="16" fontId="14" fillId="0" borderId="3" xfId="0" applyNumberFormat="1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166" fontId="18" fillId="4" borderId="1" xfId="1" applyNumberFormat="1" applyFont="1" applyFill="1" applyBorder="1" applyAlignment="1">
      <alignment horizontal="center" vertical="center" wrapText="1"/>
    </xf>
    <xf numFmtId="2" fontId="19" fillId="4" borderId="1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5" fillId="4" borderId="0" xfId="0" applyFont="1" applyFill="1"/>
    <xf numFmtId="0" fontId="16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166" fontId="14" fillId="4" borderId="1" xfId="1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166" fontId="14" fillId="4" borderId="1" xfId="1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/>
    <xf numFmtId="0" fontId="20" fillId="4" borderId="3" xfId="0" applyFont="1" applyFill="1" applyBorder="1"/>
    <xf numFmtId="0" fontId="15" fillId="4" borderId="4" xfId="0" applyFont="1" applyFill="1" applyBorder="1"/>
    <xf numFmtId="0" fontId="20" fillId="4" borderId="4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00CC"/>
      <color rgb="FF006600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6600"/>
  </sheetPr>
  <dimension ref="A1:V414"/>
  <sheetViews>
    <sheetView tabSelected="1" view="pageBreakPreview" topLeftCell="A148" zoomScaleSheetLayoutView="100" workbookViewId="0">
      <selection activeCell="G4" sqref="G4:G5"/>
    </sheetView>
  </sheetViews>
  <sheetFormatPr defaultRowHeight="15"/>
  <cols>
    <col min="1" max="1" width="6.28515625" style="2" customWidth="1"/>
    <col min="2" max="2" width="51.7109375" style="2" customWidth="1"/>
    <col min="3" max="3" width="11.85546875" style="2" customWidth="1"/>
    <col min="4" max="4" width="14.5703125" style="2" customWidth="1"/>
    <col min="5" max="5" width="12.28515625" style="2" customWidth="1"/>
    <col min="6" max="6" width="14.5703125" style="2" customWidth="1"/>
    <col min="7" max="7" width="15.42578125" style="2" customWidth="1"/>
    <col min="8" max="8" width="24.140625" style="2" customWidth="1"/>
    <col min="9" max="9" width="20.7109375" style="2" customWidth="1"/>
    <col min="10" max="16384" width="9.140625" style="2"/>
  </cols>
  <sheetData>
    <row r="1" spans="1:22" ht="15.75">
      <c r="A1" s="1"/>
      <c r="B1" s="1"/>
      <c r="C1" s="1"/>
      <c r="D1" s="1"/>
      <c r="E1" s="1"/>
      <c r="F1" s="1"/>
      <c r="G1" s="1"/>
      <c r="H1" s="37" t="s">
        <v>68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75" t="s">
        <v>184</v>
      </c>
      <c r="B2" s="75"/>
      <c r="C2" s="75"/>
      <c r="D2" s="75"/>
      <c r="E2" s="75"/>
      <c r="F2" s="75"/>
      <c r="G2" s="75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3.25" customHeight="1">
      <c r="A4" s="76" t="s">
        <v>64</v>
      </c>
      <c r="B4" s="78" t="s">
        <v>0</v>
      </c>
      <c r="C4" s="16"/>
      <c r="D4" s="80" t="s">
        <v>51</v>
      </c>
      <c r="E4" s="81"/>
      <c r="F4" s="82"/>
      <c r="G4" s="78" t="s">
        <v>65</v>
      </c>
      <c r="H4" s="83" t="s">
        <v>54</v>
      </c>
      <c r="I4" s="9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58.5" customHeight="1">
      <c r="A5" s="77"/>
      <c r="B5" s="79"/>
      <c r="C5" s="15"/>
      <c r="D5" s="14" t="s">
        <v>66</v>
      </c>
      <c r="E5" s="14" t="s">
        <v>52</v>
      </c>
      <c r="F5" s="14" t="s">
        <v>53</v>
      </c>
      <c r="G5" s="79"/>
      <c r="H5" s="84"/>
      <c r="I5" s="9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3.5" customHeight="1">
      <c r="A6" s="14">
        <v>1</v>
      </c>
      <c r="B6" s="14">
        <v>2</v>
      </c>
      <c r="C6" s="14"/>
      <c r="D6" s="14">
        <v>3</v>
      </c>
      <c r="E6" s="14">
        <v>4</v>
      </c>
      <c r="F6" s="14">
        <v>5</v>
      </c>
      <c r="G6" s="14">
        <v>6</v>
      </c>
      <c r="H6" s="13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39" customFormat="1" ht="18" customHeight="1">
      <c r="A7" s="130" t="s">
        <v>1</v>
      </c>
      <c r="B7" s="131" t="s">
        <v>69</v>
      </c>
      <c r="C7" s="151" t="s">
        <v>106</v>
      </c>
      <c r="D7" s="133"/>
      <c r="E7" s="134"/>
      <c r="F7" s="135">
        <f>(F8+F9+F10+F11)/4</f>
        <v>0.94799999999999995</v>
      </c>
      <c r="G7" s="136">
        <f>0.8*(G12+G17+G22)/3+0.2*F7</f>
        <v>0.90750766666666671</v>
      </c>
      <c r="H7" s="137" t="s">
        <v>55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</row>
    <row r="8" spans="1:22" s="139" customFormat="1" ht="16.5" customHeight="1">
      <c r="A8" s="174"/>
      <c r="B8" s="175"/>
      <c r="C8" s="142">
        <v>2017</v>
      </c>
      <c r="D8" s="143"/>
      <c r="E8" s="144"/>
      <c r="F8" s="145">
        <v>0.995</v>
      </c>
      <c r="G8" s="146">
        <f>0.8*(G13+G18+G23)/3+0.2*F8+0.01</f>
        <v>0.90460000000000007</v>
      </c>
      <c r="H8" s="172" t="s">
        <v>55</v>
      </c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</row>
    <row r="9" spans="1:22" s="139" customFormat="1" ht="16.5" customHeight="1">
      <c r="A9" s="174"/>
      <c r="B9" s="175"/>
      <c r="C9" s="142">
        <v>2018</v>
      </c>
      <c r="D9" s="143"/>
      <c r="E9" s="144"/>
      <c r="F9" s="145">
        <v>1</v>
      </c>
      <c r="G9" s="146">
        <f>0.8*(G14+G19+G24)/3+0.2*F9</f>
        <v>0.99093333333333344</v>
      </c>
      <c r="H9" s="172" t="s">
        <v>56</v>
      </c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</row>
    <row r="10" spans="1:22" s="139" customFormat="1" ht="16.5" customHeight="1">
      <c r="A10" s="174"/>
      <c r="B10" s="175"/>
      <c r="C10" s="142">
        <v>2019</v>
      </c>
      <c r="D10" s="143"/>
      <c r="E10" s="144"/>
      <c r="F10" s="145">
        <v>0.99399999999999999</v>
      </c>
      <c r="G10" s="146">
        <f>0.8*(G15+G20+G25)/3+0.2*F10</f>
        <v>0.96962666666666675</v>
      </c>
      <c r="H10" s="172" t="s">
        <v>56</v>
      </c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</row>
    <row r="11" spans="1:22" s="139" customFormat="1" ht="16.5" customHeight="1">
      <c r="A11" s="176"/>
      <c r="B11" s="177"/>
      <c r="C11" s="142">
        <v>2020</v>
      </c>
      <c r="D11" s="143"/>
      <c r="E11" s="144"/>
      <c r="F11" s="145">
        <v>0.80300000000000005</v>
      </c>
      <c r="G11" s="146">
        <f>0.8*(G16+G21+G26)/3+0.2*F11</f>
        <v>0.77180000000000004</v>
      </c>
      <c r="H11" s="172" t="s">
        <v>55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</row>
    <row r="12" spans="1:22" ht="15" customHeight="1">
      <c r="A12" s="72" t="s">
        <v>2</v>
      </c>
      <c r="B12" s="69" t="s">
        <v>13</v>
      </c>
      <c r="C12" s="42" t="s">
        <v>106</v>
      </c>
      <c r="D12" s="43">
        <f>(D13+D14+D15+D16)/4</f>
        <v>1</v>
      </c>
      <c r="E12" s="43">
        <f>(E13+E14+E15+E16)/4</f>
        <v>0.75</v>
      </c>
      <c r="F12" s="43">
        <f>(F13+F14+F15+F16)/4</f>
        <v>0.89349999999999996</v>
      </c>
      <c r="G12" s="44">
        <f>D12*(0.5*E12+0.5*F12)</f>
        <v>0.82174999999999998</v>
      </c>
      <c r="H12" s="47" t="s">
        <v>55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7.25" customHeight="1">
      <c r="A13" s="73"/>
      <c r="B13" s="70"/>
      <c r="C13" s="38">
        <v>2017</v>
      </c>
      <c r="D13" s="39">
        <v>1</v>
      </c>
      <c r="E13" s="39">
        <v>1</v>
      </c>
      <c r="F13" s="39">
        <v>1</v>
      </c>
      <c r="G13" s="40">
        <f t="shared" ref="G13:G15" si="0">D13*(0.5*E13+0.5*F13)</f>
        <v>1</v>
      </c>
      <c r="H13" s="46" t="s">
        <v>56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7.25" customHeight="1">
      <c r="A14" s="73"/>
      <c r="B14" s="70"/>
      <c r="C14" s="38">
        <v>2018</v>
      </c>
      <c r="D14" s="39">
        <v>1</v>
      </c>
      <c r="E14" s="39">
        <v>1</v>
      </c>
      <c r="F14" s="39">
        <v>0.95199999999999996</v>
      </c>
      <c r="G14" s="40">
        <f t="shared" si="0"/>
        <v>0.97599999999999998</v>
      </c>
      <c r="H14" s="46" t="s">
        <v>56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7.25" customHeight="1">
      <c r="A15" s="73"/>
      <c r="B15" s="70"/>
      <c r="C15" s="38">
        <v>2019</v>
      </c>
      <c r="D15" s="39">
        <v>1</v>
      </c>
      <c r="E15" s="39">
        <v>1</v>
      </c>
      <c r="F15" s="39">
        <v>0.91200000000000003</v>
      </c>
      <c r="G15" s="40">
        <f t="shared" si="0"/>
        <v>0.95599999999999996</v>
      </c>
      <c r="H15" s="46" t="s">
        <v>56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7.25" customHeight="1">
      <c r="A16" s="74"/>
      <c r="B16" s="71"/>
      <c r="C16" s="38">
        <v>2020</v>
      </c>
      <c r="D16" s="39">
        <v>1</v>
      </c>
      <c r="E16" s="39">
        <v>0</v>
      </c>
      <c r="F16" s="39">
        <v>0.71</v>
      </c>
      <c r="G16" s="40">
        <f>D16*(0.5*E16+0.5*F16)-0.01</f>
        <v>0.34499999999999997</v>
      </c>
      <c r="H16" s="46" t="s">
        <v>57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7.25" customHeight="1">
      <c r="A17" s="72" t="s">
        <v>3</v>
      </c>
      <c r="B17" s="94" t="s">
        <v>14</v>
      </c>
      <c r="C17" s="42" t="s">
        <v>106</v>
      </c>
      <c r="D17" s="43">
        <f>(D18+D19+D20+D21)/4</f>
        <v>0.996</v>
      </c>
      <c r="E17" s="43">
        <f>(E18+E19+E20+E21)/4</f>
        <v>0.92749999999999999</v>
      </c>
      <c r="F17" s="43">
        <f>(F18+F19+F20+F21)/4</f>
        <v>0.91674999999999995</v>
      </c>
      <c r="G17" s="44">
        <f>D17*(0.5*E17+0.5*F17)</f>
        <v>0.91843649999999999</v>
      </c>
      <c r="H17" s="47" t="s">
        <v>55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7.25" customHeight="1">
      <c r="A18" s="87"/>
      <c r="B18" s="95"/>
      <c r="C18" s="38">
        <v>2017</v>
      </c>
      <c r="D18" s="39">
        <v>1</v>
      </c>
      <c r="E18" s="39">
        <v>0.8</v>
      </c>
      <c r="F18" s="39">
        <v>0.66700000000000004</v>
      </c>
      <c r="G18" s="40">
        <f t="shared" ref="G18:G26" si="1">D18*(0.5*E18+0.5*F18)</f>
        <v>0.73350000000000004</v>
      </c>
      <c r="H18" s="46" t="s">
        <v>55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7.25" customHeight="1">
      <c r="A19" s="87"/>
      <c r="B19" s="95"/>
      <c r="C19" s="38">
        <v>2018</v>
      </c>
      <c r="D19" s="39">
        <v>1</v>
      </c>
      <c r="E19" s="39">
        <v>1</v>
      </c>
      <c r="F19" s="39">
        <v>1</v>
      </c>
      <c r="G19" s="40">
        <f t="shared" si="1"/>
        <v>1</v>
      </c>
      <c r="H19" s="46" t="s">
        <v>56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6.5" customHeight="1">
      <c r="A20" s="87"/>
      <c r="B20" s="95"/>
      <c r="C20" s="38">
        <v>2019</v>
      </c>
      <c r="D20" s="39">
        <v>1</v>
      </c>
      <c r="E20" s="39">
        <v>0.91</v>
      </c>
      <c r="F20" s="39">
        <v>1</v>
      </c>
      <c r="G20" s="40">
        <f t="shared" si="1"/>
        <v>0.95500000000000007</v>
      </c>
      <c r="H20" s="46" t="s">
        <v>56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7.25" customHeight="1">
      <c r="A21" s="93"/>
      <c r="B21" s="96"/>
      <c r="C21" s="38">
        <v>2020</v>
      </c>
      <c r="D21" s="39">
        <v>0.98399999999999999</v>
      </c>
      <c r="E21" s="39">
        <v>1</v>
      </c>
      <c r="F21" s="39">
        <v>1</v>
      </c>
      <c r="G21" s="40">
        <f t="shared" si="1"/>
        <v>0.98399999999999999</v>
      </c>
      <c r="H21" s="46" t="s">
        <v>56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7.25" customHeight="1">
      <c r="A22" s="72" t="s">
        <v>4</v>
      </c>
      <c r="B22" s="69" t="s">
        <v>5</v>
      </c>
      <c r="C22" s="42" t="s">
        <v>106</v>
      </c>
      <c r="D22" s="43">
        <f>(D23+D24+D25+D26)/4</f>
        <v>0.998</v>
      </c>
      <c r="E22" s="43">
        <f>(E23+E24+E25+E26)/4</f>
        <v>0.9375</v>
      </c>
      <c r="F22" s="43">
        <f>(F23+F24+F25+F26)/4</f>
        <v>0.97025000000000006</v>
      </c>
      <c r="G22" s="44">
        <f>D22*(0.5*E22+0.5*F22)</f>
        <v>0.95196725000000004</v>
      </c>
      <c r="H22" s="47" t="s">
        <v>56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>
      <c r="A23" s="73"/>
      <c r="B23" s="85"/>
      <c r="C23" s="38">
        <v>2017</v>
      </c>
      <c r="D23" s="39">
        <v>1</v>
      </c>
      <c r="E23" s="39">
        <v>0.75</v>
      </c>
      <c r="F23" s="39">
        <v>1</v>
      </c>
      <c r="G23" s="40">
        <f t="shared" si="1"/>
        <v>0.875</v>
      </c>
      <c r="H23" s="46" t="s">
        <v>55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>
      <c r="A24" s="73"/>
      <c r="B24" s="85"/>
      <c r="C24" s="38">
        <v>2018</v>
      </c>
      <c r="D24" s="39">
        <v>1</v>
      </c>
      <c r="E24" s="39">
        <v>1</v>
      </c>
      <c r="F24" s="39">
        <v>0.98</v>
      </c>
      <c r="G24" s="40">
        <f t="shared" si="1"/>
        <v>0.99</v>
      </c>
      <c r="H24" s="46" t="s">
        <v>56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73"/>
      <c r="B25" s="85"/>
      <c r="C25" s="38">
        <v>2019</v>
      </c>
      <c r="D25" s="39">
        <v>0.99199999999999999</v>
      </c>
      <c r="E25" s="39">
        <v>1</v>
      </c>
      <c r="F25" s="39">
        <v>0.97499999999999998</v>
      </c>
      <c r="G25" s="40">
        <f t="shared" si="1"/>
        <v>0.97960000000000003</v>
      </c>
      <c r="H25" s="46" t="s">
        <v>56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7.25" customHeight="1">
      <c r="A26" s="74"/>
      <c r="B26" s="86"/>
      <c r="C26" s="38">
        <v>2020</v>
      </c>
      <c r="D26" s="39">
        <v>1</v>
      </c>
      <c r="E26" s="39">
        <v>1</v>
      </c>
      <c r="F26" s="39">
        <v>0.92600000000000005</v>
      </c>
      <c r="G26" s="40">
        <f t="shared" si="1"/>
        <v>0.96300000000000008</v>
      </c>
      <c r="H26" s="62" t="s">
        <v>56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139" customFormat="1" ht="17.25" customHeight="1">
      <c r="A27" s="130" t="s">
        <v>7</v>
      </c>
      <c r="B27" s="131" t="s">
        <v>8</v>
      </c>
      <c r="C27" s="151" t="s">
        <v>106</v>
      </c>
      <c r="D27" s="156"/>
      <c r="E27" s="157"/>
      <c r="F27" s="135">
        <f>(F28+F29+F30+F31)/4</f>
        <v>0.995</v>
      </c>
      <c r="G27" s="136">
        <f>0.8*(G32+G37)/2+0.2*F27</f>
        <v>0.94094710000000004</v>
      </c>
      <c r="H27" s="137" t="s">
        <v>55</v>
      </c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</row>
    <row r="28" spans="1:22" s="139" customFormat="1" ht="17.25" customHeight="1">
      <c r="A28" s="152"/>
      <c r="B28" s="173"/>
      <c r="C28" s="142">
        <v>2017</v>
      </c>
      <c r="D28" s="158"/>
      <c r="E28" s="159"/>
      <c r="F28" s="145">
        <v>0.99099999999999999</v>
      </c>
      <c r="G28" s="146">
        <f>0.8*(G33+G38)/2+0.2*F28</f>
        <v>0.96378500000000011</v>
      </c>
      <c r="H28" s="172" t="s">
        <v>56</v>
      </c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</row>
    <row r="29" spans="1:22" s="139" customFormat="1" ht="17.25" customHeight="1">
      <c r="A29" s="152"/>
      <c r="B29" s="173"/>
      <c r="C29" s="142">
        <v>2018</v>
      </c>
      <c r="D29" s="158"/>
      <c r="E29" s="159"/>
      <c r="F29" s="145">
        <v>1</v>
      </c>
      <c r="G29" s="146">
        <f>0.8*(G34+G39)/2+0.2*F29</f>
        <v>0.95161440000000019</v>
      </c>
      <c r="H29" s="172" t="s">
        <v>56</v>
      </c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</row>
    <row r="30" spans="1:22" s="139" customFormat="1" ht="17.25" customHeight="1">
      <c r="A30" s="152"/>
      <c r="B30" s="173"/>
      <c r="C30" s="142">
        <v>2019</v>
      </c>
      <c r="D30" s="158"/>
      <c r="E30" s="159"/>
      <c r="F30" s="145">
        <v>0.997</v>
      </c>
      <c r="G30" s="146">
        <f>0.8*(G34+G40)/2+0.2*F30+0.01</f>
        <v>0.96182600000000007</v>
      </c>
      <c r="H30" s="172" t="s">
        <v>56</v>
      </c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</row>
    <row r="31" spans="1:22" s="139" customFormat="1" ht="18" customHeight="1">
      <c r="A31" s="154"/>
      <c r="B31" s="160"/>
      <c r="C31" s="142">
        <v>2020</v>
      </c>
      <c r="D31" s="158"/>
      <c r="E31" s="159"/>
      <c r="F31" s="145">
        <v>0.99199999999999999</v>
      </c>
      <c r="G31" s="146">
        <f>0.8*(G36+G41)/2+0.2*F31</f>
        <v>0.89316479999999998</v>
      </c>
      <c r="H31" s="172" t="s">
        <v>55</v>
      </c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</row>
    <row r="32" spans="1:22" s="18" customFormat="1" ht="18" customHeight="1">
      <c r="A32" s="72" t="s">
        <v>11</v>
      </c>
      <c r="B32" s="69" t="s">
        <v>15</v>
      </c>
      <c r="C32" s="42" t="s">
        <v>106</v>
      </c>
      <c r="D32" s="66">
        <f>(D33+D34+D35+D36)/4</f>
        <v>0.97799999999999998</v>
      </c>
      <c r="E32" s="66">
        <f>(E33+E34+E35+E36)/4</f>
        <v>0.92549999999999999</v>
      </c>
      <c r="F32" s="66">
        <f>(F33+F34+F35+F36)/4</f>
        <v>0.87925000000000009</v>
      </c>
      <c r="G32" s="44">
        <f>D32*(0.5*E32+0.5*F32)</f>
        <v>0.88252275000000002</v>
      </c>
      <c r="H32" s="63" t="s">
        <v>55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18" customFormat="1" ht="18" customHeight="1">
      <c r="A33" s="73"/>
      <c r="B33" s="70"/>
      <c r="C33" s="38">
        <v>2017</v>
      </c>
      <c r="D33" s="39">
        <v>0.99299999999999999</v>
      </c>
      <c r="E33" s="39">
        <v>0.94099999999999995</v>
      </c>
      <c r="F33" s="39">
        <v>0.93100000000000005</v>
      </c>
      <c r="G33" s="40">
        <f>D33*(0.5*E33+0.5*F33)</f>
        <v>0.92944799999999994</v>
      </c>
      <c r="H33" s="62" t="s">
        <v>55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18" customFormat="1" ht="18" customHeight="1">
      <c r="A34" s="73"/>
      <c r="B34" s="70"/>
      <c r="C34" s="38">
        <v>2018</v>
      </c>
      <c r="D34" s="39">
        <v>1</v>
      </c>
      <c r="E34" s="39">
        <v>0.86099999999999999</v>
      </c>
      <c r="F34" s="39">
        <v>0.93700000000000006</v>
      </c>
      <c r="G34" s="40">
        <f>D34*(0.5*E34+0.5*F34)</f>
        <v>0.89900000000000002</v>
      </c>
      <c r="H34" s="62" t="s">
        <v>55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18" customFormat="1" ht="18" customHeight="1">
      <c r="A35" s="73"/>
      <c r="B35" s="70"/>
      <c r="C35" s="38">
        <v>2019</v>
      </c>
      <c r="D35" s="39">
        <v>1</v>
      </c>
      <c r="E35" s="39">
        <v>0.94899999999999995</v>
      </c>
      <c r="F35" s="39">
        <v>0.872</v>
      </c>
      <c r="G35" s="40">
        <f>D35*(0.5*E35+0.5*F35)</f>
        <v>0.91049999999999998</v>
      </c>
      <c r="H35" s="62" t="s">
        <v>55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ht="18.75" customHeight="1">
      <c r="A36" s="74"/>
      <c r="B36" s="71"/>
      <c r="C36" s="38">
        <v>2020</v>
      </c>
      <c r="D36" s="39">
        <v>0.91900000000000004</v>
      </c>
      <c r="E36" s="39">
        <v>0.95099999999999996</v>
      </c>
      <c r="F36" s="39">
        <v>0.77700000000000002</v>
      </c>
      <c r="G36" s="40">
        <f t="shared" ref="G36:G216" si="2">D36*(0.5*E36+0.5*F36)</f>
        <v>0.79401600000000006</v>
      </c>
      <c r="H36" s="62" t="s">
        <v>55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.75" customHeight="1">
      <c r="A37" s="72" t="s">
        <v>12</v>
      </c>
      <c r="B37" s="69" t="s">
        <v>9</v>
      </c>
      <c r="C37" s="42" t="s">
        <v>106</v>
      </c>
      <c r="D37" s="43">
        <f>(D38+D39+D40+D41)/4</f>
        <v>0.996</v>
      </c>
      <c r="E37" s="43">
        <f>(E38+E39+E40+E41)/4</f>
        <v>0.98499999999999999</v>
      </c>
      <c r="F37" s="43">
        <f t="shared" ref="F37" si="3">(F38+F39+F40+F41)/4</f>
        <v>0.96749999999999992</v>
      </c>
      <c r="G37" s="44">
        <f>D37*(0.5*E37+0.5*F37)</f>
        <v>0.9723449999999999</v>
      </c>
      <c r="H37" s="64" t="s">
        <v>56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.75" customHeight="1">
      <c r="A38" s="73"/>
      <c r="B38" s="70"/>
      <c r="C38" s="38">
        <v>2017</v>
      </c>
      <c r="D38" s="39">
        <v>0.999</v>
      </c>
      <c r="E38" s="39">
        <v>1</v>
      </c>
      <c r="F38" s="39">
        <v>0.97099999999999997</v>
      </c>
      <c r="G38" s="40">
        <f>D38*(0.5*E38+0.5*F38)</f>
        <v>0.98451450000000007</v>
      </c>
      <c r="H38" s="62" t="s">
        <v>56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.75" customHeight="1">
      <c r="A39" s="73"/>
      <c r="B39" s="70"/>
      <c r="C39" s="38">
        <v>2018</v>
      </c>
      <c r="D39" s="39">
        <v>0.998</v>
      </c>
      <c r="E39" s="39">
        <v>1</v>
      </c>
      <c r="F39" s="39">
        <v>0.96399999999999997</v>
      </c>
      <c r="G39" s="40">
        <f>D39*(0.5*E39+0.5*F39)</f>
        <v>0.98003600000000002</v>
      </c>
      <c r="H39" s="62" t="s">
        <v>56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.75" customHeight="1">
      <c r="A40" s="73"/>
      <c r="B40" s="70"/>
      <c r="C40" s="38">
        <v>2019</v>
      </c>
      <c r="D40" s="39">
        <v>0.995</v>
      </c>
      <c r="E40" s="39">
        <v>1</v>
      </c>
      <c r="F40" s="39">
        <v>0.97399999999999998</v>
      </c>
      <c r="G40" s="40">
        <f>D40*(0.5*E40+0.5*F40)</f>
        <v>0.98206499999999997</v>
      </c>
      <c r="H40" s="62" t="s">
        <v>56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7.25" customHeight="1">
      <c r="A41" s="74"/>
      <c r="B41" s="71"/>
      <c r="C41" s="38">
        <v>2020</v>
      </c>
      <c r="D41" s="3">
        <v>0.99199999999999999</v>
      </c>
      <c r="E41" s="3">
        <v>0.94</v>
      </c>
      <c r="F41" s="3">
        <v>0.96099999999999997</v>
      </c>
      <c r="G41" s="4">
        <f t="shared" si="2"/>
        <v>0.94289599999999985</v>
      </c>
      <c r="H41" s="5" t="s">
        <v>55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139" customFormat="1" ht="17.25" customHeight="1">
      <c r="A42" s="130" t="s">
        <v>16</v>
      </c>
      <c r="B42" s="131" t="s">
        <v>17</v>
      </c>
      <c r="C42" s="151" t="s">
        <v>106</v>
      </c>
      <c r="D42" s="156"/>
      <c r="E42" s="157"/>
      <c r="F42" s="135">
        <f>(F43+F44+F45+F46)/4</f>
        <v>1</v>
      </c>
      <c r="G42" s="136">
        <f>0.8*(G47+G52+G57)/3+0.2*F42</f>
        <v>0.98005845000000003</v>
      </c>
      <c r="H42" s="137" t="s">
        <v>56</v>
      </c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</row>
    <row r="43" spans="1:22" s="139" customFormat="1" ht="17.25" customHeight="1">
      <c r="A43" s="152"/>
      <c r="B43" s="141"/>
      <c r="C43" s="142">
        <v>2017</v>
      </c>
      <c r="D43" s="158"/>
      <c r="E43" s="159"/>
      <c r="F43" s="145">
        <v>1</v>
      </c>
      <c r="G43" s="146">
        <f>0.8*(G48+G53+G58)/3+0.2*F43</f>
        <v>0.9846666666666668</v>
      </c>
      <c r="H43" s="172" t="s">
        <v>56</v>
      </c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</row>
    <row r="44" spans="1:22" s="139" customFormat="1" ht="17.25" customHeight="1">
      <c r="A44" s="152"/>
      <c r="B44" s="141"/>
      <c r="C44" s="142">
        <v>2018</v>
      </c>
      <c r="D44" s="158"/>
      <c r="E44" s="159"/>
      <c r="F44" s="145">
        <v>1</v>
      </c>
      <c r="G44" s="146">
        <f t="shared" ref="G44:G46" si="4">0.8*(G49+G54+G59)/3+0.2*F44</f>
        <v>0.9781333333333333</v>
      </c>
      <c r="H44" s="172" t="s">
        <v>56</v>
      </c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</row>
    <row r="45" spans="1:22" s="139" customFormat="1" ht="17.25" customHeight="1">
      <c r="A45" s="152"/>
      <c r="B45" s="141"/>
      <c r="C45" s="142">
        <v>2019</v>
      </c>
      <c r="D45" s="158"/>
      <c r="E45" s="159"/>
      <c r="F45" s="145">
        <v>1</v>
      </c>
      <c r="G45" s="146">
        <f t="shared" si="4"/>
        <v>0.98520000000000008</v>
      </c>
      <c r="H45" s="172" t="s">
        <v>56</v>
      </c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</row>
    <row r="46" spans="1:22" s="139" customFormat="1" ht="18.75" customHeight="1">
      <c r="A46" s="154"/>
      <c r="B46" s="149"/>
      <c r="C46" s="142">
        <v>2020</v>
      </c>
      <c r="D46" s="158"/>
      <c r="E46" s="159"/>
      <c r="F46" s="145">
        <v>1</v>
      </c>
      <c r="G46" s="146">
        <f t="shared" si="4"/>
        <v>0.97239706666666659</v>
      </c>
      <c r="H46" s="172" t="s">
        <v>56</v>
      </c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</row>
    <row r="47" spans="1:22" ht="18.75" customHeight="1">
      <c r="A47" s="72" t="s">
        <v>18</v>
      </c>
      <c r="B47" s="97" t="s">
        <v>19</v>
      </c>
      <c r="C47" s="42" t="s">
        <v>106</v>
      </c>
      <c r="D47" s="43">
        <f>(D48+D49+D50+D51)/4</f>
        <v>0.99150000000000005</v>
      </c>
      <c r="E47" s="43">
        <f t="shared" ref="E47:F47" si="5">(E48+E49+E50+E51)/4</f>
        <v>0.96425000000000005</v>
      </c>
      <c r="F47" s="43">
        <f t="shared" si="5"/>
        <v>0.96050000000000002</v>
      </c>
      <c r="G47" s="44">
        <f t="shared" ref="G47:G52" si="6">D47*(0.5*E47+0.5*F47)</f>
        <v>0.95419481250000004</v>
      </c>
      <c r="H47" s="64" t="s">
        <v>56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.75" customHeight="1">
      <c r="A48" s="73"/>
      <c r="B48" s="90"/>
      <c r="C48" s="38">
        <v>2017</v>
      </c>
      <c r="D48" s="39">
        <v>1</v>
      </c>
      <c r="E48" s="39">
        <v>1</v>
      </c>
      <c r="F48" s="39">
        <v>0.98299999999999998</v>
      </c>
      <c r="G48" s="40">
        <f t="shared" si="6"/>
        <v>0.99150000000000005</v>
      </c>
      <c r="H48" s="62" t="s">
        <v>56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.75" customHeight="1">
      <c r="A49" s="73"/>
      <c r="B49" s="90"/>
      <c r="C49" s="38">
        <v>2018</v>
      </c>
      <c r="D49" s="39">
        <v>1</v>
      </c>
      <c r="E49" s="39">
        <v>0.85699999999999998</v>
      </c>
      <c r="F49" s="39">
        <v>1</v>
      </c>
      <c r="G49" s="40">
        <f t="shared" si="6"/>
        <v>0.92849999999999999</v>
      </c>
      <c r="H49" s="62" t="s">
        <v>55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.75" customHeight="1">
      <c r="A50" s="73"/>
      <c r="B50" s="90"/>
      <c r="C50" s="38">
        <v>2019</v>
      </c>
      <c r="D50" s="39">
        <v>1</v>
      </c>
      <c r="E50" s="39">
        <v>1</v>
      </c>
      <c r="F50" s="39">
        <v>0.97599999999999998</v>
      </c>
      <c r="G50" s="40">
        <f t="shared" si="6"/>
        <v>0.98799999999999999</v>
      </c>
      <c r="H50" s="62" t="s">
        <v>56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>
      <c r="A51" s="74"/>
      <c r="B51" s="91"/>
      <c r="C51" s="38">
        <v>2020</v>
      </c>
      <c r="D51" s="39">
        <v>0.96599999999999997</v>
      </c>
      <c r="E51" s="39">
        <v>1</v>
      </c>
      <c r="F51" s="39">
        <v>0.88300000000000001</v>
      </c>
      <c r="G51" s="40">
        <f t="shared" si="6"/>
        <v>0.90948899999999999</v>
      </c>
      <c r="H51" s="41" t="s">
        <v>55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>
      <c r="A52" s="72" t="s">
        <v>20</v>
      </c>
      <c r="B52" s="69" t="s">
        <v>23</v>
      </c>
      <c r="C52" s="42" t="s">
        <v>106</v>
      </c>
      <c r="D52" s="43">
        <f>(D53+D54+D55+D56)/4</f>
        <v>1</v>
      </c>
      <c r="E52" s="43">
        <f t="shared" ref="E52:F52" si="7">(E53+E54+E55+E56)/4</f>
        <v>0.96650000000000003</v>
      </c>
      <c r="F52" s="43">
        <f t="shared" si="7"/>
        <v>1</v>
      </c>
      <c r="G52" s="44">
        <f t="shared" si="6"/>
        <v>0.98324999999999996</v>
      </c>
      <c r="H52" s="47" t="s">
        <v>56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>
      <c r="A53" s="87"/>
      <c r="B53" s="88"/>
      <c r="C53" s="38">
        <v>2017</v>
      </c>
      <c r="D53" s="39">
        <v>1</v>
      </c>
      <c r="E53" s="39">
        <v>0.93300000000000005</v>
      </c>
      <c r="F53" s="39">
        <v>1</v>
      </c>
      <c r="G53" s="40">
        <f t="shared" si="2"/>
        <v>0.96650000000000003</v>
      </c>
      <c r="H53" s="46" t="s">
        <v>56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>
      <c r="A54" s="73"/>
      <c r="B54" s="70"/>
      <c r="C54" s="38">
        <v>2018</v>
      </c>
      <c r="D54" s="39">
        <v>1</v>
      </c>
      <c r="E54" s="39">
        <v>1</v>
      </c>
      <c r="F54" s="39">
        <v>1</v>
      </c>
      <c r="G54" s="40">
        <f t="shared" si="2"/>
        <v>1</v>
      </c>
      <c r="H54" s="46" t="s">
        <v>56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>
      <c r="A55" s="73"/>
      <c r="B55" s="70"/>
      <c r="C55" s="38">
        <v>2019</v>
      </c>
      <c r="D55" s="39">
        <v>1</v>
      </c>
      <c r="E55" s="39">
        <v>0.93300000000000005</v>
      </c>
      <c r="F55" s="39">
        <v>1</v>
      </c>
      <c r="G55" s="40">
        <f t="shared" si="2"/>
        <v>0.96650000000000003</v>
      </c>
      <c r="H55" s="46" t="s">
        <v>56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.75" customHeight="1">
      <c r="A56" s="74"/>
      <c r="B56" s="71"/>
      <c r="C56" s="38">
        <v>2020</v>
      </c>
      <c r="D56" s="39">
        <v>1</v>
      </c>
      <c r="E56" s="39">
        <v>1</v>
      </c>
      <c r="F56" s="39">
        <v>1</v>
      </c>
      <c r="G56" s="40">
        <f t="shared" si="2"/>
        <v>1</v>
      </c>
      <c r="H56" s="46" t="s">
        <v>56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.75" customHeight="1">
      <c r="A57" s="72" t="s">
        <v>21</v>
      </c>
      <c r="B57" s="69" t="s">
        <v>22</v>
      </c>
      <c r="C57" s="42" t="s">
        <v>106</v>
      </c>
      <c r="D57" s="43">
        <f>(D58+D59+D60+D61)/4</f>
        <v>0.99750000000000005</v>
      </c>
      <c r="E57" s="43">
        <f t="shared" ref="E57:F57" si="8">(E58+E59+E60+E61)/4</f>
        <v>0.98049999999999993</v>
      </c>
      <c r="F57" s="43">
        <f t="shared" si="8"/>
        <v>1</v>
      </c>
      <c r="G57" s="44">
        <f>D57*(0.5*E57+0.5*F57)</f>
        <v>0.98777437499999998</v>
      </c>
      <c r="H57" s="47" t="s">
        <v>56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.75" customHeight="1">
      <c r="A58" s="87"/>
      <c r="B58" s="88"/>
      <c r="C58" s="38">
        <v>2017</v>
      </c>
      <c r="D58" s="39">
        <v>1</v>
      </c>
      <c r="E58" s="39">
        <v>0.96899999999999997</v>
      </c>
      <c r="F58" s="39">
        <v>1</v>
      </c>
      <c r="G58" s="40">
        <f>D58*(0.5*E58+0.5*F58)</f>
        <v>0.98449999999999993</v>
      </c>
      <c r="H58" s="46" t="s">
        <v>56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.75" customHeight="1">
      <c r="A59" s="73"/>
      <c r="B59" s="70"/>
      <c r="C59" s="38">
        <v>2018</v>
      </c>
      <c r="D59" s="39">
        <v>1</v>
      </c>
      <c r="E59" s="39">
        <v>0.97899999999999998</v>
      </c>
      <c r="F59" s="39">
        <v>1</v>
      </c>
      <c r="G59" s="40">
        <f>D59*(0.5*E59+0.5*F59)</f>
        <v>0.98950000000000005</v>
      </c>
      <c r="H59" s="46" t="s">
        <v>56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.75" customHeight="1">
      <c r="A60" s="73"/>
      <c r="B60" s="70"/>
      <c r="C60" s="38">
        <v>2019</v>
      </c>
      <c r="D60" s="39">
        <v>0.99</v>
      </c>
      <c r="E60" s="39">
        <v>1</v>
      </c>
      <c r="F60" s="39">
        <v>1</v>
      </c>
      <c r="G60" s="40">
        <f>D60*(0.5*E60+0.5*F60)</f>
        <v>0.99</v>
      </c>
      <c r="H60" s="46" t="s">
        <v>56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>
      <c r="A61" s="74"/>
      <c r="B61" s="71"/>
      <c r="C61" s="38">
        <v>2020</v>
      </c>
      <c r="D61" s="39">
        <v>1</v>
      </c>
      <c r="E61" s="39">
        <v>0.97399999999999998</v>
      </c>
      <c r="F61" s="39">
        <v>1</v>
      </c>
      <c r="G61" s="40">
        <f t="shared" si="2"/>
        <v>0.98699999999999999</v>
      </c>
      <c r="H61" s="46" t="s">
        <v>56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139" customFormat="1" ht="18" customHeight="1">
      <c r="A62" s="170" t="s">
        <v>24</v>
      </c>
      <c r="B62" s="150" t="s">
        <v>70</v>
      </c>
      <c r="C62" s="151" t="s">
        <v>106</v>
      </c>
      <c r="D62" s="133"/>
      <c r="E62" s="134"/>
      <c r="F62" s="135">
        <f>(F63+F65+F64+F66)/4</f>
        <v>0.99324999999999997</v>
      </c>
      <c r="G62" s="136">
        <f>0.8*(G67+G72+G77+G82+G87)/5+0.2*F62</f>
        <v>0.87868591500000004</v>
      </c>
      <c r="H62" s="137" t="s">
        <v>55</v>
      </c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</row>
    <row r="63" spans="1:22" s="139" customFormat="1" ht="18" customHeight="1">
      <c r="A63" s="152"/>
      <c r="B63" s="153"/>
      <c r="C63" s="142">
        <v>2017</v>
      </c>
      <c r="D63" s="143"/>
      <c r="E63" s="143"/>
      <c r="F63" s="171">
        <v>1</v>
      </c>
      <c r="G63" s="146">
        <f>0.8*(G68+G73+G78+G83+G88)/5+0.2*F63</f>
        <v>0.90038824000000006</v>
      </c>
      <c r="H63" s="147" t="s">
        <v>55</v>
      </c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</row>
    <row r="64" spans="1:22" s="139" customFormat="1" ht="18" customHeight="1">
      <c r="A64" s="152"/>
      <c r="B64" s="153"/>
      <c r="C64" s="142">
        <v>2018</v>
      </c>
      <c r="D64" s="143"/>
      <c r="E64" s="143"/>
      <c r="F64" s="171">
        <v>0.997</v>
      </c>
      <c r="G64" s="146">
        <f>0.8*(G69+G74+G79+G84+G89)/5+0.2*F64</f>
        <v>0.87549104</v>
      </c>
      <c r="H64" s="147" t="s">
        <v>55</v>
      </c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</row>
    <row r="65" spans="1:22" s="139" customFormat="1" ht="18" customHeight="1">
      <c r="A65" s="152"/>
      <c r="B65" s="153"/>
      <c r="C65" s="142">
        <v>2019</v>
      </c>
      <c r="D65" s="143"/>
      <c r="E65" s="143"/>
      <c r="F65" s="171">
        <v>0.99399999999999999</v>
      </c>
      <c r="G65" s="146">
        <f>0.8*(G70+G75+G80+G85+G90)/5+0.2*F65</f>
        <v>0.84013895999999988</v>
      </c>
      <c r="H65" s="147" t="s">
        <v>55</v>
      </c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</row>
    <row r="66" spans="1:22" s="139" customFormat="1" ht="18" customHeight="1">
      <c r="A66" s="154"/>
      <c r="B66" s="155"/>
      <c r="C66" s="142">
        <v>2020</v>
      </c>
      <c r="D66" s="143"/>
      <c r="E66" s="144"/>
      <c r="F66" s="171">
        <v>0.98199999999999998</v>
      </c>
      <c r="G66" s="146">
        <f>0.8*(G71+G76+G81+G86+G91)/5+0.2*F66+0.01</f>
        <v>0.90912000000000004</v>
      </c>
      <c r="H66" s="147" t="s">
        <v>55</v>
      </c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</row>
    <row r="67" spans="1:22" ht="18" customHeight="1">
      <c r="A67" s="72" t="s">
        <v>35</v>
      </c>
      <c r="B67" s="69" t="s">
        <v>71</v>
      </c>
      <c r="C67" s="42" t="s">
        <v>106</v>
      </c>
      <c r="D67" s="43">
        <f>(1+D69+D71+D70)/4</f>
        <v>1</v>
      </c>
      <c r="E67" s="43">
        <f>(E68+E69+E71+E70)/4</f>
        <v>0.90575000000000006</v>
      </c>
      <c r="F67" s="43">
        <f>(F68+F69+F71+F70)/4</f>
        <v>0.95</v>
      </c>
      <c r="G67" s="44">
        <f>D67*(0.5*E67+0.5*F67)</f>
        <v>0.92787500000000001</v>
      </c>
      <c r="H67" s="47" t="s">
        <v>55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>
      <c r="A68" s="73"/>
      <c r="B68" s="70"/>
      <c r="C68" s="38">
        <v>2017</v>
      </c>
      <c r="D68" s="39" t="s">
        <v>50</v>
      </c>
      <c r="E68" s="39">
        <v>0.93300000000000005</v>
      </c>
      <c r="F68" s="39">
        <v>0.97299999999999998</v>
      </c>
      <c r="G68" s="40">
        <f>1*(0.5*E68+0.5*F68)</f>
        <v>0.95300000000000007</v>
      </c>
      <c r="H68" s="65" t="s">
        <v>56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>
      <c r="A69" s="73"/>
      <c r="B69" s="70"/>
      <c r="C69" s="38">
        <v>2018</v>
      </c>
      <c r="D69" s="39">
        <v>1</v>
      </c>
      <c r="E69" s="39">
        <v>0.94</v>
      </c>
      <c r="F69" s="39">
        <v>0.98099999999999998</v>
      </c>
      <c r="G69" s="40">
        <f>D69*(0.5*E69+0.5*F69)</f>
        <v>0.96049999999999991</v>
      </c>
      <c r="H69" s="65" t="s">
        <v>56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>
      <c r="A70" s="73"/>
      <c r="B70" s="70"/>
      <c r="C70" s="38">
        <v>2019</v>
      </c>
      <c r="D70" s="39">
        <v>1</v>
      </c>
      <c r="E70" s="39">
        <v>0.875</v>
      </c>
      <c r="F70" s="39">
        <v>0.92800000000000005</v>
      </c>
      <c r="G70" s="40">
        <f>D70*(0.5*E70+0.5*F70)</f>
        <v>0.90149999999999997</v>
      </c>
      <c r="H70" s="65" t="s">
        <v>55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9.5" customHeight="1">
      <c r="A71" s="74"/>
      <c r="B71" s="71"/>
      <c r="C71" s="38">
        <v>2020</v>
      </c>
      <c r="D71" s="39">
        <v>1</v>
      </c>
      <c r="E71" s="39">
        <v>0.875</v>
      </c>
      <c r="F71" s="39">
        <v>0.91800000000000004</v>
      </c>
      <c r="G71" s="40">
        <v>0.9</v>
      </c>
      <c r="H71" s="65" t="s">
        <v>55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9.5" customHeight="1">
      <c r="A72" s="72" t="s">
        <v>47</v>
      </c>
      <c r="B72" s="69" t="s">
        <v>72</v>
      </c>
      <c r="C72" s="42" t="s">
        <v>106</v>
      </c>
      <c r="D72" s="43">
        <f>(D73+D74+D76+D75)/4</f>
        <v>1</v>
      </c>
      <c r="E72" s="43">
        <f>(E73+E74+E76+E75)/4</f>
        <v>0.93399999999999994</v>
      </c>
      <c r="F72" s="43">
        <f>(F73+F74+F76+F75)/4</f>
        <v>0.96750000000000003</v>
      </c>
      <c r="G72" s="44">
        <f t="shared" ref="G72:G78" si="9">D72*(0.5*E72+0.5*F72)</f>
        <v>0.95074999999999998</v>
      </c>
      <c r="H72" s="47" t="s">
        <v>56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9.5" customHeight="1">
      <c r="A73" s="73"/>
      <c r="B73" s="70"/>
      <c r="C73" s="38">
        <v>2017</v>
      </c>
      <c r="D73" s="39">
        <v>1</v>
      </c>
      <c r="E73" s="39">
        <v>0.93300000000000005</v>
      </c>
      <c r="F73" s="39">
        <v>1</v>
      </c>
      <c r="G73" s="40">
        <f t="shared" si="9"/>
        <v>0.96650000000000003</v>
      </c>
      <c r="H73" s="65" t="s">
        <v>56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9.5" customHeight="1">
      <c r="A74" s="73"/>
      <c r="B74" s="70"/>
      <c r="C74" s="38">
        <v>2018</v>
      </c>
      <c r="D74" s="39">
        <v>1</v>
      </c>
      <c r="E74" s="39">
        <v>1</v>
      </c>
      <c r="F74" s="39">
        <v>0.93799999999999994</v>
      </c>
      <c r="G74" s="40">
        <f t="shared" si="9"/>
        <v>0.96899999999999997</v>
      </c>
      <c r="H74" s="65" t="s">
        <v>56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9.5" customHeight="1">
      <c r="A75" s="73"/>
      <c r="B75" s="70"/>
      <c r="C75" s="38">
        <v>2019</v>
      </c>
      <c r="D75" s="39">
        <v>1</v>
      </c>
      <c r="E75" s="39">
        <v>0.93300000000000005</v>
      </c>
      <c r="F75" s="39">
        <v>1</v>
      </c>
      <c r="G75" s="40">
        <f t="shared" si="9"/>
        <v>0.96650000000000003</v>
      </c>
      <c r="H75" s="65" t="s">
        <v>56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.75" customHeight="1">
      <c r="A76" s="74"/>
      <c r="B76" s="71"/>
      <c r="C76" s="38">
        <v>2020</v>
      </c>
      <c r="D76" s="39">
        <v>1</v>
      </c>
      <c r="E76" s="39">
        <v>0.87</v>
      </c>
      <c r="F76" s="39">
        <v>0.93200000000000005</v>
      </c>
      <c r="G76" s="40">
        <f t="shared" si="9"/>
        <v>0.90100000000000002</v>
      </c>
      <c r="H76" s="41" t="s">
        <v>55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.75" customHeight="1">
      <c r="A77" s="72" t="s">
        <v>36</v>
      </c>
      <c r="B77" s="69" t="s">
        <v>73</v>
      </c>
      <c r="C77" s="42" t="s">
        <v>106</v>
      </c>
      <c r="D77" s="43">
        <f>(D78+0.986+D81+D80)/4</f>
        <v>0.92174999999999996</v>
      </c>
      <c r="E77" s="43">
        <f>(E78+E79+E81+E80)/4</f>
        <v>0.95025000000000004</v>
      </c>
      <c r="F77" s="43">
        <f>(F78+F79+F81+F80)/4</f>
        <v>0.97225000000000006</v>
      </c>
      <c r="G77" s="44">
        <f t="shared" si="9"/>
        <v>0.88603218750000001</v>
      </c>
      <c r="H77" s="45" t="s">
        <v>55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.75" customHeight="1">
      <c r="A78" s="73"/>
      <c r="B78" s="70"/>
      <c r="C78" s="38">
        <v>2017</v>
      </c>
      <c r="D78" s="39">
        <v>0.88700000000000001</v>
      </c>
      <c r="E78" s="39">
        <v>0.94399999999999995</v>
      </c>
      <c r="F78" s="39">
        <v>0.88900000000000001</v>
      </c>
      <c r="G78" s="40">
        <f t="shared" si="9"/>
        <v>0.81293550000000003</v>
      </c>
      <c r="H78" s="41" t="s">
        <v>55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.75" customHeight="1">
      <c r="A79" s="73"/>
      <c r="B79" s="70"/>
      <c r="C79" s="38">
        <v>2018</v>
      </c>
      <c r="D79" s="39" t="s">
        <v>139</v>
      </c>
      <c r="E79" s="39">
        <v>1</v>
      </c>
      <c r="F79" s="39">
        <v>1</v>
      </c>
      <c r="G79" s="40">
        <f>0.986*(0.5*E79+0.5*F79)</f>
        <v>0.98599999999999999</v>
      </c>
      <c r="H79" s="41" t="s">
        <v>56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.75" customHeight="1">
      <c r="A80" s="73"/>
      <c r="B80" s="70"/>
      <c r="C80" s="38">
        <v>2019</v>
      </c>
      <c r="D80" s="39">
        <v>0.874</v>
      </c>
      <c r="E80" s="39">
        <v>0.85699999999999998</v>
      </c>
      <c r="F80" s="39">
        <v>1</v>
      </c>
      <c r="G80" s="40">
        <f>D80*(0.5*E80+0.5*F80)</f>
        <v>0.81150900000000004</v>
      </c>
      <c r="H80" s="41" t="s">
        <v>55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>
      <c r="A81" s="74"/>
      <c r="B81" s="71"/>
      <c r="C81" s="38">
        <v>2020</v>
      </c>
      <c r="D81" s="39">
        <v>0.94</v>
      </c>
      <c r="E81" s="39">
        <v>1</v>
      </c>
      <c r="F81" s="39">
        <v>1</v>
      </c>
      <c r="G81" s="40">
        <f>D81*(0.5*E81+0.5*F81)</f>
        <v>0.94</v>
      </c>
      <c r="H81" s="41" t="s">
        <v>55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>
      <c r="A82" s="72" t="s">
        <v>59</v>
      </c>
      <c r="B82" s="69" t="s">
        <v>60</v>
      </c>
      <c r="C82" s="42" t="s">
        <v>106</v>
      </c>
      <c r="D82" s="43">
        <f>(D83+D84+D85+0.998)/4</f>
        <v>0.98324999999999996</v>
      </c>
      <c r="E82" s="43">
        <f>(E83+E84+E86+E85)/4</f>
        <v>0.75</v>
      </c>
      <c r="F82" s="43">
        <f>(F83+F84+F86+F85)/4</f>
        <v>0.83524999999999994</v>
      </c>
      <c r="G82" s="44">
        <f t="shared" ref="G82:G85" si="10">D82*(0.5*E82+0.5*F82)</f>
        <v>0.77934853124999992</v>
      </c>
      <c r="H82" s="45" t="s">
        <v>55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>
      <c r="A83" s="87"/>
      <c r="B83" s="88"/>
      <c r="C83" s="38">
        <v>2017</v>
      </c>
      <c r="D83" s="39">
        <v>0.97799999999999998</v>
      </c>
      <c r="E83" s="39">
        <v>0.5</v>
      </c>
      <c r="F83" s="39">
        <v>0.81899999999999995</v>
      </c>
      <c r="G83" s="40">
        <f t="shared" si="10"/>
        <v>0.64499099999999998</v>
      </c>
      <c r="H83" s="41" t="s">
        <v>58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>
      <c r="A84" s="87"/>
      <c r="B84" s="88"/>
      <c r="C84" s="38">
        <v>2018</v>
      </c>
      <c r="D84" s="39">
        <v>0.98599999999999999</v>
      </c>
      <c r="E84" s="39">
        <v>0.83299999999999996</v>
      </c>
      <c r="F84" s="39">
        <v>0.8</v>
      </c>
      <c r="G84" s="40">
        <f>D84*(0.5*E84+0.5*F84)-0.01</f>
        <v>0.79506900000000003</v>
      </c>
      <c r="H84" s="45" t="s">
        <v>55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>
      <c r="A85" s="73"/>
      <c r="B85" s="70"/>
      <c r="C85" s="38">
        <v>2019</v>
      </c>
      <c r="D85" s="39">
        <v>0.97099999999999997</v>
      </c>
      <c r="E85" s="39">
        <v>0.66700000000000004</v>
      </c>
      <c r="F85" s="39">
        <v>0.72199999999999998</v>
      </c>
      <c r="G85" s="40">
        <f t="shared" si="10"/>
        <v>0.6743595</v>
      </c>
      <c r="H85" s="41" t="s">
        <v>58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6.5" customHeight="1">
      <c r="A86" s="74"/>
      <c r="B86" s="71"/>
      <c r="C86" s="38">
        <v>2020</v>
      </c>
      <c r="D86" s="39" t="s">
        <v>140</v>
      </c>
      <c r="E86" s="39">
        <v>1</v>
      </c>
      <c r="F86" s="39">
        <v>1</v>
      </c>
      <c r="G86" s="40">
        <f>0.998*(0.5*E86+0.5*F86)</f>
        <v>0.998</v>
      </c>
      <c r="H86" s="41" t="s">
        <v>119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6.5" customHeight="1">
      <c r="A87" s="72" t="s">
        <v>61</v>
      </c>
      <c r="B87" s="69" t="s">
        <v>62</v>
      </c>
      <c r="C87" s="42" t="s">
        <v>106</v>
      </c>
      <c r="D87" s="43">
        <f>(1+D89+D91+D90)/4</f>
        <v>0.72900000000000009</v>
      </c>
      <c r="E87" s="43">
        <f>(E88+E89+E91+E90)/4</f>
        <v>0.9375</v>
      </c>
      <c r="F87" s="43">
        <f t="shared" ref="F87" si="11">(F88+F89+F91+F90)/4</f>
        <v>1</v>
      </c>
      <c r="G87" s="44">
        <f>D87*(0.5*E87+0.5*F87)</f>
        <v>0.70621875000000012</v>
      </c>
      <c r="H87" s="60" t="s">
        <v>55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6.5" customHeight="1">
      <c r="A88" s="87"/>
      <c r="B88" s="88"/>
      <c r="C88" s="38">
        <v>2017</v>
      </c>
      <c r="D88" s="39" t="s">
        <v>50</v>
      </c>
      <c r="E88" s="39">
        <v>1</v>
      </c>
      <c r="F88" s="39">
        <v>1</v>
      </c>
      <c r="G88" s="40">
        <f>1*(0.5*E88+0.5*F88)</f>
        <v>1</v>
      </c>
      <c r="H88" s="41" t="s">
        <v>56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6.5" customHeight="1">
      <c r="A89" s="87"/>
      <c r="B89" s="88"/>
      <c r="C89" s="38">
        <v>2018</v>
      </c>
      <c r="D89" s="39">
        <v>0.51500000000000001</v>
      </c>
      <c r="E89" s="39">
        <v>1</v>
      </c>
      <c r="F89" s="39">
        <v>1</v>
      </c>
      <c r="G89" s="40">
        <f t="shared" ref="G89:G91" si="12">D89*(0.5*E89+0.5*F89)</f>
        <v>0.51500000000000001</v>
      </c>
      <c r="H89" s="41" t="s">
        <v>58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6.5" customHeight="1">
      <c r="A90" s="73"/>
      <c r="B90" s="70"/>
      <c r="C90" s="38">
        <v>2019</v>
      </c>
      <c r="D90" s="39">
        <v>0.748</v>
      </c>
      <c r="E90" s="39">
        <v>0.75</v>
      </c>
      <c r="F90" s="39">
        <v>1</v>
      </c>
      <c r="G90" s="40">
        <f t="shared" si="12"/>
        <v>0.65449999999999997</v>
      </c>
      <c r="H90" s="41" t="s">
        <v>58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.75" customHeight="1">
      <c r="A91" s="74"/>
      <c r="B91" s="71"/>
      <c r="C91" s="38">
        <v>2020</v>
      </c>
      <c r="D91" s="39">
        <v>0.65300000000000002</v>
      </c>
      <c r="E91" s="39">
        <v>1</v>
      </c>
      <c r="F91" s="39">
        <v>1</v>
      </c>
      <c r="G91" s="40">
        <f t="shared" si="12"/>
        <v>0.65300000000000002</v>
      </c>
      <c r="H91" s="41" t="s">
        <v>58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hidden="1" customHeight="1">
      <c r="A92" s="19" t="s">
        <v>25</v>
      </c>
      <c r="B92" s="98" t="e">
        <f>#REF!</f>
        <v>#REF!</v>
      </c>
      <c r="C92" s="99"/>
      <c r="D92" s="99"/>
      <c r="E92" s="100"/>
      <c r="F92" s="20" t="e">
        <f>#REF!</f>
        <v>#REF!</v>
      </c>
      <c r="G92" s="21" t="e">
        <f>0.8*G93+0.2*F92</f>
        <v>#REF!</v>
      </c>
      <c r="H92" s="22" t="s">
        <v>55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.75" hidden="1" customHeight="1">
      <c r="A93" s="19" t="s">
        <v>37</v>
      </c>
      <c r="B93" s="23" t="e">
        <f>#REF!</f>
        <v>#REF!</v>
      </c>
      <c r="C93" s="23"/>
      <c r="D93" s="28" t="e">
        <f>#REF!</f>
        <v>#REF!</v>
      </c>
      <c r="E93" s="28" t="e">
        <f>#REF!</f>
        <v>#REF!</v>
      </c>
      <c r="F93" s="24" t="e">
        <f>#REF!</f>
        <v>#REF!</v>
      </c>
      <c r="G93" s="25" t="e">
        <f t="shared" si="2"/>
        <v>#REF!</v>
      </c>
      <c r="H93" s="19" t="s">
        <v>55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139" customFormat="1" ht="18.75" customHeight="1">
      <c r="A94" s="165" t="s">
        <v>25</v>
      </c>
      <c r="B94" s="150" t="s">
        <v>136</v>
      </c>
      <c r="C94" s="151" t="s">
        <v>106</v>
      </c>
      <c r="D94" s="133"/>
      <c r="E94" s="134"/>
      <c r="F94" s="135">
        <f>(F95+F96+F97)/3</f>
        <v>0.93500000000000005</v>
      </c>
      <c r="G94" s="136">
        <f>0.8*G98+0.2*F94</f>
        <v>0.86150093333333344</v>
      </c>
      <c r="H94" s="137" t="s">
        <v>55</v>
      </c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</row>
    <row r="95" spans="1:22" s="139" customFormat="1" ht="18.75" customHeight="1">
      <c r="A95" s="166"/>
      <c r="B95" s="161"/>
      <c r="C95" s="142">
        <v>2018</v>
      </c>
      <c r="D95" s="167"/>
      <c r="E95" s="168"/>
      <c r="F95" s="145">
        <v>0.97</v>
      </c>
      <c r="G95" s="146">
        <f>0.8*G99+0.2*F95</f>
        <v>0.89168720000000001</v>
      </c>
      <c r="H95" s="147" t="s">
        <v>55</v>
      </c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</row>
    <row r="96" spans="1:22" s="139" customFormat="1" ht="18.75" customHeight="1">
      <c r="A96" s="166"/>
      <c r="B96" s="161"/>
      <c r="C96" s="142">
        <v>2019</v>
      </c>
      <c r="D96" s="167"/>
      <c r="E96" s="168"/>
      <c r="F96" s="145">
        <v>0.88</v>
      </c>
      <c r="G96" s="146">
        <f>0.8*G100+0.2*F96</f>
        <v>0.77308480000000013</v>
      </c>
      <c r="H96" s="147" t="s">
        <v>55</v>
      </c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</row>
    <row r="97" spans="1:22" s="139" customFormat="1" ht="18.75" customHeight="1">
      <c r="A97" s="169"/>
      <c r="B97" s="155"/>
      <c r="C97" s="142">
        <v>2020</v>
      </c>
      <c r="D97" s="143"/>
      <c r="E97" s="144"/>
      <c r="F97" s="145">
        <v>0.95499999999999996</v>
      </c>
      <c r="G97" s="146">
        <f>0.8*G101+0.2*F97</f>
        <v>0.8489468</v>
      </c>
      <c r="H97" s="147" t="s">
        <v>55</v>
      </c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</row>
    <row r="98" spans="1:22" ht="18.75" customHeight="1">
      <c r="A98" s="101" t="s">
        <v>37</v>
      </c>
      <c r="B98" s="97" t="s">
        <v>137</v>
      </c>
      <c r="C98" s="42" t="s">
        <v>106</v>
      </c>
      <c r="D98" s="43">
        <f>(D99+1+1)/3</f>
        <v>0.99366666666666659</v>
      </c>
      <c r="E98" s="43">
        <f>(E99+E100+E101)/3</f>
        <v>0.87133333333333329</v>
      </c>
      <c r="F98" s="43">
        <f>(F99+F100+F101)/3</f>
        <v>0.82566666666666666</v>
      </c>
      <c r="G98" s="44">
        <f>D98*(0.5*E98+0.5*F98)</f>
        <v>0.84312616666666662</v>
      </c>
      <c r="H98" s="45" t="s">
        <v>55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.75" customHeight="1">
      <c r="A99" s="102"/>
      <c r="B99" s="70"/>
      <c r="C99" s="38">
        <v>2018</v>
      </c>
      <c r="D99" s="39">
        <v>0.98099999999999998</v>
      </c>
      <c r="E99" s="39">
        <v>0.94399999999999995</v>
      </c>
      <c r="F99" s="39">
        <v>0.83399999999999996</v>
      </c>
      <c r="G99" s="40">
        <f>D99*(0.5*E99+0.5*F99)</f>
        <v>0.87210900000000002</v>
      </c>
      <c r="H99" s="41" t="s">
        <v>55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.75" customHeight="1">
      <c r="A100" s="102"/>
      <c r="B100" s="70"/>
      <c r="C100" s="38">
        <v>2019</v>
      </c>
      <c r="D100" s="39" t="s">
        <v>138</v>
      </c>
      <c r="E100" s="39">
        <v>0.76</v>
      </c>
      <c r="F100" s="39">
        <v>0.85199999999999998</v>
      </c>
      <c r="G100" s="40">
        <f>0.926*(0.5*E100+0.5*F100)</f>
        <v>0.74635600000000013</v>
      </c>
      <c r="H100" s="41" t="s">
        <v>122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.75" customHeight="1">
      <c r="A101" s="103"/>
      <c r="B101" s="71"/>
      <c r="C101" s="38">
        <v>2020</v>
      </c>
      <c r="D101" s="39">
        <v>0.96699999999999997</v>
      </c>
      <c r="E101" s="39">
        <v>0.91</v>
      </c>
      <c r="F101" s="39">
        <v>0.79100000000000004</v>
      </c>
      <c r="G101" s="40">
        <f>D101*(0.5*E101+0.5*F101)</f>
        <v>0.82243350000000004</v>
      </c>
      <c r="H101" s="41" t="s">
        <v>55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s="139" customFormat="1" ht="17.25" customHeight="1">
      <c r="A102" s="130" t="s">
        <v>26</v>
      </c>
      <c r="B102" s="150" t="s">
        <v>74</v>
      </c>
      <c r="C102" s="151" t="s">
        <v>106</v>
      </c>
      <c r="D102" s="156"/>
      <c r="E102" s="157"/>
      <c r="F102" s="135">
        <f>(F103+F104+F105)/3</f>
        <v>1</v>
      </c>
      <c r="G102" s="136">
        <f>0.8*(G107+G112)/2+0.2*F102</f>
        <v>0.77389758750000004</v>
      </c>
      <c r="H102" s="137" t="s">
        <v>55</v>
      </c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</row>
    <row r="103" spans="1:22" s="139" customFormat="1" ht="17.25" customHeight="1">
      <c r="A103" s="140"/>
      <c r="B103" s="161"/>
      <c r="C103" s="142">
        <v>2017</v>
      </c>
      <c r="D103" s="163"/>
      <c r="E103" s="159"/>
      <c r="F103" s="145">
        <v>1</v>
      </c>
      <c r="G103" s="146">
        <f>0.8*(G108+G113)/2+0.2*F103</f>
        <v>0.60000000000000009</v>
      </c>
      <c r="H103" s="164" t="s">
        <v>58</v>
      </c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</row>
    <row r="104" spans="1:22" s="139" customFormat="1" ht="17.25" customHeight="1">
      <c r="A104" s="140"/>
      <c r="B104" s="161"/>
      <c r="C104" s="142">
        <v>2018</v>
      </c>
      <c r="D104" s="163"/>
      <c r="E104" s="159"/>
      <c r="F104" s="145">
        <v>1</v>
      </c>
      <c r="G104" s="146">
        <f>0.8*(G109+G114)/2+0.2*F104</f>
        <v>0.94488000000000016</v>
      </c>
      <c r="H104" s="164" t="s">
        <v>142</v>
      </c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</row>
    <row r="105" spans="1:22" s="139" customFormat="1" ht="17.25" customHeight="1">
      <c r="A105" s="140"/>
      <c r="B105" s="161"/>
      <c r="C105" s="142">
        <v>2019</v>
      </c>
      <c r="D105" s="163"/>
      <c r="E105" s="159"/>
      <c r="F105" s="145">
        <v>1</v>
      </c>
      <c r="G105" s="146">
        <f>0.8*(G110+G115)/2+0.2*F105</f>
        <v>0.87328000000000006</v>
      </c>
      <c r="H105" s="164" t="s">
        <v>55</v>
      </c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</row>
    <row r="106" spans="1:22" s="139" customFormat="1" ht="17.25" customHeight="1">
      <c r="A106" s="154"/>
      <c r="B106" s="155"/>
      <c r="C106" s="142">
        <v>2020</v>
      </c>
      <c r="D106" s="163"/>
      <c r="E106" s="159"/>
      <c r="F106" s="145" t="s">
        <v>50</v>
      </c>
      <c r="G106" s="146">
        <f>0.8*(G111+G116)/2+0.2*1</f>
        <v>0.77847179999999994</v>
      </c>
      <c r="H106" s="164" t="s">
        <v>55</v>
      </c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</row>
    <row r="107" spans="1:22" s="27" customFormat="1" ht="17.25" customHeight="1">
      <c r="A107" s="72" t="s">
        <v>38</v>
      </c>
      <c r="B107" s="97" t="s">
        <v>75</v>
      </c>
      <c r="C107" s="42" t="s">
        <v>106</v>
      </c>
      <c r="D107" s="43">
        <f>(D108+0.958+0.976+D111)/4</f>
        <v>0.68074999999999997</v>
      </c>
      <c r="E107" s="43">
        <f>(E108+E109+E111+E110)/4</f>
        <v>0.61499999999999999</v>
      </c>
      <c r="F107" s="43">
        <f>(F108+F109+F111+F110)/4</f>
        <v>0.66225000000000001</v>
      </c>
      <c r="G107" s="44">
        <f>D107*(0.5*E107+0.5*F107)</f>
        <v>0.43474396874999999</v>
      </c>
      <c r="H107" s="47" t="s">
        <v>57</v>
      </c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:22" s="27" customFormat="1" ht="17.25" customHeight="1">
      <c r="A108" s="73"/>
      <c r="B108" s="70"/>
      <c r="C108" s="38">
        <v>2017</v>
      </c>
      <c r="D108" s="39">
        <v>0</v>
      </c>
      <c r="E108" s="39">
        <v>0.4</v>
      </c>
      <c r="F108" s="39">
        <v>0.378</v>
      </c>
      <c r="G108" s="40">
        <f>0*(0.5*E108+0.5*F108)</f>
        <v>0</v>
      </c>
      <c r="H108" s="67" t="s">
        <v>57</v>
      </c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s="27" customFormat="1" ht="17.25" customHeight="1">
      <c r="A109" s="73"/>
      <c r="B109" s="70"/>
      <c r="C109" s="38">
        <v>2018</v>
      </c>
      <c r="D109" s="39" t="s">
        <v>141</v>
      </c>
      <c r="E109" s="39">
        <v>0.8</v>
      </c>
      <c r="F109" s="39">
        <v>1</v>
      </c>
      <c r="G109" s="40">
        <f>0.958*(0.5*E109+0.5*F109)</f>
        <v>0.86219999999999997</v>
      </c>
      <c r="H109" s="67" t="s">
        <v>122</v>
      </c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:22" s="27" customFormat="1" ht="15.75" customHeight="1">
      <c r="A110" s="73"/>
      <c r="B110" s="70"/>
      <c r="C110" s="38">
        <v>2019</v>
      </c>
      <c r="D110" s="39" t="s">
        <v>143</v>
      </c>
      <c r="E110" s="39">
        <v>0.4</v>
      </c>
      <c r="F110" s="39">
        <v>1</v>
      </c>
      <c r="G110" s="40">
        <f>0.976*(0.5*E110+0.5*F110)</f>
        <v>0.68319999999999992</v>
      </c>
      <c r="H110" s="67" t="s">
        <v>144</v>
      </c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:22" ht="16.5" customHeight="1">
      <c r="A111" s="74"/>
      <c r="B111" s="71"/>
      <c r="C111" s="38">
        <v>2020</v>
      </c>
      <c r="D111" s="39">
        <v>0.78900000000000003</v>
      </c>
      <c r="E111" s="39">
        <v>0.86</v>
      </c>
      <c r="F111" s="39">
        <v>0.27100000000000002</v>
      </c>
      <c r="G111" s="40">
        <f>D111*(0.5*E111+0.5*F111)</f>
        <v>0.44617950000000001</v>
      </c>
      <c r="H111" s="67" t="s">
        <v>57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6.5" customHeight="1">
      <c r="A112" s="72" t="s">
        <v>39</v>
      </c>
      <c r="B112" s="69" t="s">
        <v>76</v>
      </c>
      <c r="C112" s="42" t="s">
        <v>106</v>
      </c>
      <c r="D112" s="43">
        <f>(D113+D115+D114+1)/4</f>
        <v>1</v>
      </c>
      <c r="E112" s="43">
        <f>(E113+E114+E116+E115)/4</f>
        <v>1</v>
      </c>
      <c r="F112" s="43">
        <f>(F113+F114+F116+F115)/4</f>
        <v>1</v>
      </c>
      <c r="G112" s="44">
        <f>D112*(0.5*E112+0.5*F112)</f>
        <v>1</v>
      </c>
      <c r="H112" s="47" t="s">
        <v>56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6.5" customHeight="1">
      <c r="A113" s="73"/>
      <c r="B113" s="70"/>
      <c r="C113" s="38">
        <v>2017</v>
      </c>
      <c r="D113" s="39">
        <v>1</v>
      </c>
      <c r="E113" s="39">
        <v>1</v>
      </c>
      <c r="F113" s="39">
        <v>1</v>
      </c>
      <c r="G113" s="40">
        <f t="shared" ref="G113:G115" si="13">D113*(0.5*E113+0.5*F113)</f>
        <v>1</v>
      </c>
      <c r="H113" s="67" t="s">
        <v>56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6.5" customHeight="1">
      <c r="A114" s="73"/>
      <c r="B114" s="70"/>
      <c r="C114" s="38">
        <v>2018</v>
      </c>
      <c r="D114" s="39">
        <v>1</v>
      </c>
      <c r="E114" s="39">
        <v>1</v>
      </c>
      <c r="F114" s="39">
        <v>1</v>
      </c>
      <c r="G114" s="40">
        <f t="shared" si="13"/>
        <v>1</v>
      </c>
      <c r="H114" s="67" t="s">
        <v>56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6.5" customHeight="1">
      <c r="A115" s="73"/>
      <c r="B115" s="70"/>
      <c r="C115" s="38">
        <v>2019</v>
      </c>
      <c r="D115" s="39">
        <v>1</v>
      </c>
      <c r="E115" s="39">
        <v>1</v>
      </c>
      <c r="F115" s="39">
        <v>1</v>
      </c>
      <c r="G115" s="40">
        <f t="shared" si="13"/>
        <v>1</v>
      </c>
      <c r="H115" s="41" t="s">
        <v>56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74"/>
      <c r="B116" s="71"/>
      <c r="C116" s="38">
        <v>2020</v>
      </c>
      <c r="D116" s="3" t="s">
        <v>50</v>
      </c>
      <c r="E116" s="39">
        <v>1</v>
      </c>
      <c r="F116" s="39">
        <v>1</v>
      </c>
      <c r="G116" s="40">
        <f>1*(0.5*E116+0.5*F116)</f>
        <v>1</v>
      </c>
      <c r="H116" s="41" t="s">
        <v>56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s="139" customFormat="1" ht="17.25" customHeight="1">
      <c r="A117" s="130" t="s">
        <v>27</v>
      </c>
      <c r="B117" s="150" t="s">
        <v>77</v>
      </c>
      <c r="C117" s="151" t="s">
        <v>106</v>
      </c>
      <c r="D117" s="133"/>
      <c r="E117" s="134"/>
      <c r="F117" s="135">
        <f>(F118+F119+F120+F121)/4</f>
        <v>0.97499999999999998</v>
      </c>
      <c r="G117" s="136">
        <f>0.8*(G122+G127+G132)/3+0.2*F117</f>
        <v>0.93269704166666667</v>
      </c>
      <c r="H117" s="137" t="s">
        <v>55</v>
      </c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</row>
    <row r="118" spans="1:22" s="139" customFormat="1" ht="17.25" customHeight="1">
      <c r="A118" s="152"/>
      <c r="B118" s="161"/>
      <c r="C118" s="142">
        <v>2017</v>
      </c>
      <c r="D118" s="143"/>
      <c r="E118" s="144"/>
      <c r="F118" s="145">
        <v>1</v>
      </c>
      <c r="G118" s="146">
        <f>0.8*(G123+G128+G133)/3+0.2*F118</f>
        <v>0.93948520000000002</v>
      </c>
      <c r="H118" s="147" t="s">
        <v>55</v>
      </c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</row>
    <row r="119" spans="1:22" s="139" customFormat="1" ht="17.25" customHeight="1">
      <c r="A119" s="152"/>
      <c r="B119" s="161"/>
      <c r="C119" s="142">
        <v>2018</v>
      </c>
      <c r="D119" s="143"/>
      <c r="E119" s="144"/>
      <c r="F119" s="145">
        <v>1</v>
      </c>
      <c r="G119" s="146">
        <f>0.8*(G124+G129+G134)/3+0.2*F119</f>
        <v>0.88650973333333338</v>
      </c>
      <c r="H119" s="147" t="s">
        <v>55</v>
      </c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</row>
    <row r="120" spans="1:22" s="139" customFormat="1" ht="17.25" customHeight="1">
      <c r="A120" s="152"/>
      <c r="B120" s="161"/>
      <c r="C120" s="142">
        <v>2019</v>
      </c>
      <c r="D120" s="143"/>
      <c r="E120" s="144"/>
      <c r="F120" s="145">
        <v>0.9</v>
      </c>
      <c r="G120" s="146">
        <f>0.8*(G125+G130+G135)/3+0.2*F120</f>
        <v>0.9701333333333334</v>
      </c>
      <c r="H120" s="147" t="s">
        <v>56</v>
      </c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</row>
    <row r="121" spans="1:22" s="139" customFormat="1" ht="17.25" customHeight="1">
      <c r="A121" s="154"/>
      <c r="B121" s="162"/>
      <c r="C121" s="142">
        <v>2020</v>
      </c>
      <c r="D121" s="143"/>
      <c r="E121" s="144"/>
      <c r="F121" s="145">
        <v>1</v>
      </c>
      <c r="G121" s="146">
        <f>0.8*(G126+G131+G136)/3+0.2*F121</f>
        <v>0.93697319999999995</v>
      </c>
      <c r="H121" s="147" t="s">
        <v>55</v>
      </c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</row>
    <row r="122" spans="1:22" ht="17.25" customHeight="1">
      <c r="A122" s="72" t="s">
        <v>40</v>
      </c>
      <c r="B122" s="69" t="s">
        <v>78</v>
      </c>
      <c r="C122" s="42" t="s">
        <v>106</v>
      </c>
      <c r="D122" s="43">
        <f>(0.998+0.964+0.996+0.969)/4</f>
        <v>0.98175000000000001</v>
      </c>
      <c r="E122" s="43">
        <f>(E123+E124+E125+E126)/4</f>
        <v>0.95325000000000004</v>
      </c>
      <c r="F122" s="43">
        <f>(F123+F124+F125+F126)/4</f>
        <v>0.99924999999999997</v>
      </c>
      <c r="G122" s="44">
        <f>D122*(0.5*E122+0.5*F122)</f>
        <v>0.9584334375000001</v>
      </c>
      <c r="H122" s="47" t="s">
        <v>133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7.25" customHeight="1">
      <c r="A123" s="73"/>
      <c r="B123" s="70"/>
      <c r="C123" s="38">
        <v>2017</v>
      </c>
      <c r="D123" s="39" t="s">
        <v>124</v>
      </c>
      <c r="E123" s="39">
        <v>0.94099999999999995</v>
      </c>
      <c r="F123" s="39">
        <v>1</v>
      </c>
      <c r="G123" s="40">
        <f>0.998*(0.5*E123+0.5*F123)</f>
        <v>0.96855899999999995</v>
      </c>
      <c r="H123" s="46" t="s">
        <v>119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7.25" customHeight="1">
      <c r="A124" s="73"/>
      <c r="B124" s="70"/>
      <c r="C124" s="38">
        <v>2018</v>
      </c>
      <c r="D124" s="39" t="s">
        <v>129</v>
      </c>
      <c r="E124" s="39">
        <v>0.92900000000000005</v>
      </c>
      <c r="F124" s="39">
        <v>1</v>
      </c>
      <c r="G124" s="40">
        <f>0.964*(0.5*E124+0.5*F124)</f>
        <v>0.92977799999999999</v>
      </c>
      <c r="H124" s="46" t="s">
        <v>122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7.25" customHeight="1">
      <c r="A125" s="73"/>
      <c r="B125" s="70"/>
      <c r="C125" s="38">
        <v>2019</v>
      </c>
      <c r="D125" s="39" t="s">
        <v>126</v>
      </c>
      <c r="E125" s="39">
        <v>1</v>
      </c>
      <c r="F125" s="39">
        <v>1</v>
      </c>
      <c r="G125" s="40">
        <f>0.996*(0.5*E125+0.5*F125)</f>
        <v>0.996</v>
      </c>
      <c r="H125" s="46" t="s">
        <v>119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.75" customHeight="1">
      <c r="A126" s="74"/>
      <c r="B126" s="71"/>
      <c r="C126" s="38">
        <v>2020</v>
      </c>
      <c r="D126" s="39" t="s">
        <v>132</v>
      </c>
      <c r="E126" s="39">
        <v>0.94299999999999995</v>
      </c>
      <c r="F126" s="39">
        <v>0.997</v>
      </c>
      <c r="G126" s="40">
        <f>0.969*(0.5*E126+0.5*F126)</f>
        <v>0.93992999999999993</v>
      </c>
      <c r="H126" s="46" t="s">
        <v>122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.75" customHeight="1">
      <c r="A127" s="72" t="s">
        <v>41</v>
      </c>
      <c r="B127" s="69" t="s">
        <v>79</v>
      </c>
      <c r="C127" s="42" t="s">
        <v>106</v>
      </c>
      <c r="D127" s="43">
        <f>(D128+0.964+0.968+0.927)/4</f>
        <v>0.91874999999999996</v>
      </c>
      <c r="E127" s="43">
        <f>(E128+E129+E130+E131)/4</f>
        <v>0.96425000000000005</v>
      </c>
      <c r="F127" s="43">
        <f>(F128+F129+F130+F131)/4</f>
        <v>0.99099999999999999</v>
      </c>
      <c r="G127" s="44">
        <f>D127*(0.5*E127+0.5*F127)</f>
        <v>0.89819296874999988</v>
      </c>
      <c r="H127" s="47" t="s">
        <v>55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.75" customHeight="1">
      <c r="A128" s="73"/>
      <c r="B128" s="70"/>
      <c r="C128" s="38">
        <v>2017</v>
      </c>
      <c r="D128" s="39">
        <v>0.81599999999999995</v>
      </c>
      <c r="E128" s="39">
        <v>1</v>
      </c>
      <c r="F128" s="39">
        <v>1</v>
      </c>
      <c r="G128" s="40">
        <f t="shared" ref="G128" si="14">D128*(0.5*E128+0.5*F128)</f>
        <v>0.81599999999999995</v>
      </c>
      <c r="H128" s="46" t="s">
        <v>55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.75" customHeight="1">
      <c r="A129" s="73"/>
      <c r="B129" s="70"/>
      <c r="C129" s="38">
        <v>2018</v>
      </c>
      <c r="D129" s="39" t="s">
        <v>130</v>
      </c>
      <c r="E129" s="39">
        <v>1</v>
      </c>
      <c r="F129" s="39">
        <v>0.96399999999999997</v>
      </c>
      <c r="G129" s="40">
        <f>0.964*(0.5*E129+0.5*F129)</f>
        <v>0.94664799999999993</v>
      </c>
      <c r="H129" s="46" t="s">
        <v>119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.75" customHeight="1">
      <c r="A130" s="73"/>
      <c r="B130" s="70"/>
      <c r="C130" s="38">
        <v>2019</v>
      </c>
      <c r="D130" s="39" t="s">
        <v>127</v>
      </c>
      <c r="E130" s="39">
        <v>1</v>
      </c>
      <c r="F130" s="39">
        <v>1</v>
      </c>
      <c r="G130" s="40">
        <f>0.968*(0.5*E130+0.5*F130)</f>
        <v>0.96799999999999997</v>
      </c>
      <c r="H130" s="46" t="s">
        <v>119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6.5" customHeight="1">
      <c r="A131" s="74"/>
      <c r="B131" s="71"/>
      <c r="C131" s="38">
        <v>2020</v>
      </c>
      <c r="D131" s="39" t="s">
        <v>134</v>
      </c>
      <c r="E131" s="39">
        <v>0.85699999999999998</v>
      </c>
      <c r="F131" s="39">
        <v>1</v>
      </c>
      <c r="G131" s="40">
        <f>0.927*(0.5*E131+0.5*F131)</f>
        <v>0.86071950000000008</v>
      </c>
      <c r="H131" s="46" t="s">
        <v>122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6.5" customHeight="1">
      <c r="A132" s="72" t="s">
        <v>42</v>
      </c>
      <c r="B132" s="69" t="s">
        <v>80</v>
      </c>
      <c r="C132" s="42" t="s">
        <v>106</v>
      </c>
      <c r="D132" s="43">
        <f>(0.999+0.739+0.999+0.963)/4</f>
        <v>0.92500000000000004</v>
      </c>
      <c r="E132" s="43">
        <f>(E133+E134+E135+E136)/4</f>
        <v>0.97499999999999998</v>
      </c>
      <c r="F132" s="43">
        <f>(F133+F134+F135+F136)/4</f>
        <v>0.99199999999999999</v>
      </c>
      <c r="G132" s="44">
        <f>D132*(0.5*E132+0.5*F132)</f>
        <v>0.90973750000000009</v>
      </c>
      <c r="H132" s="47" t="s">
        <v>55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6.5" customHeight="1">
      <c r="A133" s="73"/>
      <c r="B133" s="70"/>
      <c r="C133" s="38">
        <v>2017</v>
      </c>
      <c r="D133" s="39" t="s">
        <v>125</v>
      </c>
      <c r="E133" s="39">
        <v>1</v>
      </c>
      <c r="F133" s="39">
        <v>0.97899999999999998</v>
      </c>
      <c r="G133" s="40">
        <f>0.999*(0.5*E133+0.5*F133)</f>
        <v>0.98851050000000007</v>
      </c>
      <c r="H133" s="46" t="s">
        <v>119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6.5" customHeight="1">
      <c r="A134" s="73"/>
      <c r="B134" s="70"/>
      <c r="C134" s="38">
        <v>2018</v>
      </c>
      <c r="D134" s="39" t="s">
        <v>131</v>
      </c>
      <c r="E134" s="39">
        <v>0.9</v>
      </c>
      <c r="F134" s="39">
        <v>0.98899999999999999</v>
      </c>
      <c r="G134" s="40">
        <f>0.739*(0.5*E134+0.5*F134)</f>
        <v>0.69798550000000004</v>
      </c>
      <c r="H134" s="46" t="s">
        <v>122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6.5" customHeight="1">
      <c r="A135" s="73"/>
      <c r="B135" s="70"/>
      <c r="C135" s="38">
        <v>2019</v>
      </c>
      <c r="D135" s="39" t="s">
        <v>128</v>
      </c>
      <c r="E135" s="39">
        <v>1</v>
      </c>
      <c r="F135" s="39">
        <v>1</v>
      </c>
      <c r="G135" s="40">
        <f>0.999*(0.5*E135+0.5*F135)</f>
        <v>0.999</v>
      </c>
      <c r="H135" s="46" t="s">
        <v>119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6.5" customHeight="1">
      <c r="A136" s="74"/>
      <c r="B136" s="71"/>
      <c r="C136" s="38">
        <v>2020</v>
      </c>
      <c r="D136" s="39" t="s">
        <v>135</v>
      </c>
      <c r="E136" s="39">
        <v>1</v>
      </c>
      <c r="F136" s="39">
        <v>1</v>
      </c>
      <c r="G136" s="40">
        <f>0.963*(0.5*E136+0.5*F136)</f>
        <v>0.96299999999999997</v>
      </c>
      <c r="H136" s="46" t="s">
        <v>119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39" customFormat="1" ht="16.5" customHeight="1">
      <c r="A137" s="130" t="s">
        <v>28</v>
      </c>
      <c r="B137" s="150" t="s">
        <v>81</v>
      </c>
      <c r="C137" s="151" t="s">
        <v>106</v>
      </c>
      <c r="D137" s="133"/>
      <c r="E137" s="134"/>
      <c r="F137" s="135">
        <f>(F138+F139+F140+F141)/4</f>
        <v>0.99775000000000003</v>
      </c>
      <c r="G137" s="136">
        <f>0.8*(G142+G147+G152)/3+0.2*F137</f>
        <v>0.85565150833333337</v>
      </c>
      <c r="H137" s="137" t="s">
        <v>55</v>
      </c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</row>
    <row r="138" spans="1:22" s="139" customFormat="1" ht="16.5" customHeight="1">
      <c r="A138" s="152"/>
      <c r="B138" s="161"/>
      <c r="C138" s="142">
        <v>2017</v>
      </c>
      <c r="D138" s="143"/>
      <c r="E138" s="144"/>
      <c r="F138" s="145">
        <v>1</v>
      </c>
      <c r="G138" s="146">
        <f>0.8*(G143+G148+G153)/3+0.2*F138</f>
        <v>0.92283626666666674</v>
      </c>
      <c r="H138" s="147" t="s">
        <v>55</v>
      </c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</row>
    <row r="139" spans="1:22" s="139" customFormat="1" ht="16.5" customHeight="1">
      <c r="A139" s="152"/>
      <c r="B139" s="161"/>
      <c r="C139" s="142">
        <v>2018</v>
      </c>
      <c r="D139" s="143"/>
      <c r="E139" s="144"/>
      <c r="F139" s="145">
        <v>0.99099999999999999</v>
      </c>
      <c r="G139" s="146">
        <f>0.8*(G144+G149+G154)/3+0.2*F139</f>
        <v>0.90684373333333346</v>
      </c>
      <c r="H139" s="147" t="s">
        <v>55</v>
      </c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</row>
    <row r="140" spans="1:22" s="139" customFormat="1" ht="16.5" customHeight="1">
      <c r="A140" s="152"/>
      <c r="B140" s="161"/>
      <c r="C140" s="142">
        <v>2019</v>
      </c>
      <c r="D140" s="143"/>
      <c r="E140" s="144"/>
      <c r="F140" s="145">
        <v>1</v>
      </c>
      <c r="G140" s="146">
        <f>0.8*(G145+G150+G155)/3+0.2*F140+0.01</f>
        <v>0.81068346666666669</v>
      </c>
      <c r="H140" s="147" t="s">
        <v>55</v>
      </c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</row>
    <row r="141" spans="1:22" s="139" customFormat="1" ht="18.75" customHeight="1">
      <c r="A141" s="154"/>
      <c r="B141" s="155"/>
      <c r="C141" s="142">
        <v>2020</v>
      </c>
      <c r="D141" s="143"/>
      <c r="E141" s="144"/>
      <c r="F141" s="145">
        <v>1</v>
      </c>
      <c r="G141" s="146">
        <f>0.8*(G146+G151+G156)/3+0.2*F141</f>
        <v>0.79081986666666659</v>
      </c>
      <c r="H141" s="147" t="s">
        <v>55</v>
      </c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</row>
    <row r="142" spans="1:22" ht="18" customHeight="1">
      <c r="A142" s="72" t="s">
        <v>43</v>
      </c>
      <c r="B142" s="69" t="s">
        <v>82</v>
      </c>
      <c r="C142" s="42" t="s">
        <v>106</v>
      </c>
      <c r="D142" s="43">
        <f>(D143+0.936+0.844+0.877)/4</f>
        <v>0.89975000000000005</v>
      </c>
      <c r="E142" s="43">
        <f>(E143+E144+E145+E146)/4</f>
        <v>0.90649999999999997</v>
      </c>
      <c r="F142" s="43">
        <f>(F143+F144+F145+F146)/4</f>
        <v>0.96575</v>
      </c>
      <c r="G142" s="44">
        <f>0.9*(0.5*E142+0.5*F142)</f>
        <v>0.8425125</v>
      </c>
      <c r="H142" s="47" t="s">
        <v>55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>
      <c r="A143" s="87"/>
      <c r="B143" s="88"/>
      <c r="C143" s="38">
        <v>2017</v>
      </c>
      <c r="D143" s="39">
        <v>0.94199999999999995</v>
      </c>
      <c r="E143" s="39">
        <v>0.94</v>
      </c>
      <c r="F143" s="39">
        <v>0.99</v>
      </c>
      <c r="G143" s="40">
        <f>D143*(0.5*E143+0.5*F143)</f>
        <v>0.90902999999999989</v>
      </c>
      <c r="H143" s="67" t="s">
        <v>55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>
      <c r="A144" s="87"/>
      <c r="B144" s="88"/>
      <c r="C144" s="38">
        <v>2018</v>
      </c>
      <c r="D144" s="39" t="s">
        <v>145</v>
      </c>
      <c r="E144" s="39">
        <v>0.85</v>
      </c>
      <c r="F144" s="39">
        <v>0.92500000000000004</v>
      </c>
      <c r="G144" s="40">
        <f>0.936*(0.5*E144+0.5*F144)</f>
        <v>0.83069999999999999</v>
      </c>
      <c r="H144" s="67" t="s">
        <v>122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>
      <c r="A145" s="87"/>
      <c r="B145" s="88"/>
      <c r="C145" s="38">
        <v>2019</v>
      </c>
      <c r="D145" s="39" t="s">
        <v>148</v>
      </c>
      <c r="E145" s="39">
        <v>0.89500000000000002</v>
      </c>
      <c r="F145" s="39">
        <v>0.95599999999999996</v>
      </c>
      <c r="G145" s="40">
        <f>0.844*(0.5*E145+0.5*F145)</f>
        <v>0.78112199999999998</v>
      </c>
      <c r="H145" s="67" t="s">
        <v>122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>
      <c r="A146" s="74"/>
      <c r="B146" s="71"/>
      <c r="C146" s="38">
        <v>2020</v>
      </c>
      <c r="D146" s="39" t="s">
        <v>150</v>
      </c>
      <c r="E146" s="39">
        <v>0.94099999999999995</v>
      </c>
      <c r="F146" s="39">
        <v>0.99199999999999999</v>
      </c>
      <c r="G146" s="40">
        <f>0.877*(0.5*E146+0.5*F146)</f>
        <v>0.84762049999999989</v>
      </c>
      <c r="H146" s="67" t="s">
        <v>122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>
      <c r="A147" s="72" t="s">
        <v>153</v>
      </c>
      <c r="B147" s="69" t="s">
        <v>83</v>
      </c>
      <c r="C147" s="42" t="s">
        <v>106</v>
      </c>
      <c r="D147" s="43">
        <f>(D148+0.997+D150+0.83)/4</f>
        <v>0.93174999999999997</v>
      </c>
      <c r="E147" s="43">
        <f>(E148+E149+E150+E151)/4</f>
        <v>0.875</v>
      </c>
      <c r="F147" s="43">
        <f>(F148+F149+F150+F151)/4</f>
        <v>0.88975000000000004</v>
      </c>
      <c r="G147" s="44">
        <f>D147*(0.5*E147+0.5*F147)</f>
        <v>0.82215290625000004</v>
      </c>
      <c r="H147" s="47" t="s">
        <v>55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>
      <c r="A148" s="73"/>
      <c r="B148" s="70"/>
      <c r="C148" s="38">
        <v>2017</v>
      </c>
      <c r="D148" s="39">
        <v>0.94399999999999995</v>
      </c>
      <c r="E148" s="39">
        <v>1</v>
      </c>
      <c r="F148" s="39">
        <v>1</v>
      </c>
      <c r="G148" s="40">
        <f t="shared" ref="G148:G153" si="15">D148*(0.5*E148+0.5*F148)</f>
        <v>0.94399999999999995</v>
      </c>
      <c r="H148" s="67" t="s">
        <v>55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>
      <c r="A149" s="73"/>
      <c r="B149" s="70"/>
      <c r="C149" s="38">
        <v>2018</v>
      </c>
      <c r="D149" s="39" t="s">
        <v>146</v>
      </c>
      <c r="E149" s="39">
        <v>1</v>
      </c>
      <c r="F149" s="39">
        <v>0.78300000000000003</v>
      </c>
      <c r="G149" s="40">
        <f>0.997*(0.5*E149+0.5*F149)</f>
        <v>0.88882549999999994</v>
      </c>
      <c r="H149" s="67" t="s">
        <v>122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>
      <c r="A150" s="73"/>
      <c r="B150" s="70"/>
      <c r="C150" s="38">
        <v>2019</v>
      </c>
      <c r="D150" s="39">
        <v>0.95599999999999996</v>
      </c>
      <c r="E150" s="39">
        <v>0.75</v>
      </c>
      <c r="F150" s="39">
        <v>0.8</v>
      </c>
      <c r="G150" s="40">
        <f>D150*(0.5*E150+0.5*F150)</f>
        <v>0.7409</v>
      </c>
      <c r="H150" s="67" t="s">
        <v>55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7.25" customHeight="1">
      <c r="A151" s="74"/>
      <c r="B151" s="71"/>
      <c r="C151" s="38">
        <v>2020</v>
      </c>
      <c r="D151" s="39" t="s">
        <v>151</v>
      </c>
      <c r="E151" s="39">
        <v>0.75</v>
      </c>
      <c r="F151" s="39">
        <v>0.97599999999999998</v>
      </c>
      <c r="G151" s="40">
        <f>0.83*(0.5*E151+0.5*F151)</f>
        <v>0.71628999999999998</v>
      </c>
      <c r="H151" s="67" t="s">
        <v>122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7.25" customHeight="1">
      <c r="A152" s="72" t="s">
        <v>154</v>
      </c>
      <c r="B152" s="69" t="s">
        <v>84</v>
      </c>
      <c r="C152" s="42" t="s">
        <v>106</v>
      </c>
      <c r="D152" s="43">
        <f>(D153+0.993+0.877+0.676)/4</f>
        <v>0.86350000000000005</v>
      </c>
      <c r="E152" s="43">
        <f>(E153+E154+E155+E156)/4</f>
        <v>0.85125000000000006</v>
      </c>
      <c r="F152" s="43">
        <f>(F153+F154+F155+F156)/4</f>
        <v>0.99174999999999991</v>
      </c>
      <c r="G152" s="44">
        <f>D152*(0.5*E152+0.5*F152)</f>
        <v>0.79571524999999999</v>
      </c>
      <c r="H152" s="47" t="s">
        <v>55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7.25" customHeight="1">
      <c r="A153" s="73"/>
      <c r="B153" s="70"/>
      <c r="C153" s="38">
        <v>2017</v>
      </c>
      <c r="D153" s="39">
        <v>0.90800000000000003</v>
      </c>
      <c r="E153" s="39">
        <v>0.88900000000000001</v>
      </c>
      <c r="F153" s="39">
        <v>1</v>
      </c>
      <c r="G153" s="40">
        <f t="shared" si="15"/>
        <v>0.85760599999999998</v>
      </c>
      <c r="H153" s="67" t="s">
        <v>55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7.25" customHeight="1">
      <c r="A154" s="73"/>
      <c r="B154" s="70"/>
      <c r="C154" s="38">
        <v>2018</v>
      </c>
      <c r="D154" s="39" t="s">
        <v>147</v>
      </c>
      <c r="E154" s="39">
        <v>0.9</v>
      </c>
      <c r="F154" s="39">
        <v>0.98899999999999999</v>
      </c>
      <c r="G154" s="40">
        <f>0.993*(0.5*E154+0.5*F154)</f>
        <v>0.93788850000000001</v>
      </c>
      <c r="H154" s="67" t="s">
        <v>122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7.25" customHeight="1">
      <c r="A155" s="73"/>
      <c r="B155" s="70"/>
      <c r="C155" s="38">
        <v>2019</v>
      </c>
      <c r="D155" s="39" t="s">
        <v>149</v>
      </c>
      <c r="E155" s="39">
        <v>0.68799999999999994</v>
      </c>
      <c r="F155" s="39">
        <v>0.97799999999999998</v>
      </c>
      <c r="G155" s="40">
        <f>0.877*(0.5*E155+0.5*F155)</f>
        <v>0.730541</v>
      </c>
      <c r="H155" s="67" t="s">
        <v>122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0.25" customHeight="1">
      <c r="A156" s="74"/>
      <c r="B156" s="71"/>
      <c r="C156" s="38">
        <v>2020</v>
      </c>
      <c r="D156" s="39" t="s">
        <v>152</v>
      </c>
      <c r="E156" s="39">
        <v>0.92800000000000005</v>
      </c>
      <c r="F156" s="39">
        <v>1</v>
      </c>
      <c r="G156" s="40">
        <f>0.676*(0.5*E156+0.5*F156)</f>
        <v>0.65166400000000002</v>
      </c>
      <c r="H156" s="67" t="s">
        <v>144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s="139" customFormat="1" ht="19.5" customHeight="1">
      <c r="A157" s="130" t="s">
        <v>29</v>
      </c>
      <c r="B157" s="131" t="s">
        <v>85</v>
      </c>
      <c r="C157" s="151" t="s">
        <v>106</v>
      </c>
      <c r="D157" s="133"/>
      <c r="E157" s="134"/>
      <c r="F157" s="135">
        <f>(F158+F159+F160+F161)/4</f>
        <v>1</v>
      </c>
      <c r="G157" s="136">
        <f>0.8*G162+0.2*F157</f>
        <v>0.92320000000000002</v>
      </c>
      <c r="H157" s="137" t="s">
        <v>55</v>
      </c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</row>
    <row r="158" spans="1:22" s="139" customFormat="1" ht="19.5" customHeight="1">
      <c r="A158" s="152"/>
      <c r="B158" s="141"/>
      <c r="C158" s="142">
        <v>2017</v>
      </c>
      <c r="D158" s="158"/>
      <c r="E158" s="159"/>
      <c r="F158" s="145">
        <v>1</v>
      </c>
      <c r="G158" s="146">
        <f>0.8*G163+0.2*F158</f>
        <v>0.93880000000000008</v>
      </c>
      <c r="H158" s="147" t="s">
        <v>55</v>
      </c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</row>
    <row r="159" spans="1:22" s="139" customFormat="1" ht="19.5" customHeight="1">
      <c r="A159" s="152"/>
      <c r="B159" s="141"/>
      <c r="C159" s="142">
        <v>2018</v>
      </c>
      <c r="D159" s="158"/>
      <c r="E159" s="159"/>
      <c r="F159" s="145">
        <v>1</v>
      </c>
      <c r="G159" s="146">
        <f>0.8*G164+0.2*F159</f>
        <v>0.9084000000000001</v>
      </c>
      <c r="H159" s="147" t="s">
        <v>55</v>
      </c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</row>
    <row r="160" spans="1:22" s="139" customFormat="1" ht="18" customHeight="1">
      <c r="A160" s="152"/>
      <c r="B160" s="141"/>
      <c r="C160" s="142">
        <v>2019</v>
      </c>
      <c r="D160" s="158"/>
      <c r="E160" s="159"/>
      <c r="F160" s="145">
        <v>1</v>
      </c>
      <c r="G160" s="146">
        <f>0.8*G165+0.2*F160</f>
        <v>0.87040000000000006</v>
      </c>
      <c r="H160" s="147" t="s">
        <v>55</v>
      </c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</row>
    <row r="161" spans="1:22" s="139" customFormat="1" ht="18" customHeight="1">
      <c r="A161" s="154"/>
      <c r="B161" s="160"/>
      <c r="C161" s="142">
        <v>2020</v>
      </c>
      <c r="D161" s="158"/>
      <c r="E161" s="159"/>
      <c r="F161" s="145">
        <v>1</v>
      </c>
      <c r="G161" s="146">
        <f>0.8*G166+0.2*F161</f>
        <v>0.97520000000000007</v>
      </c>
      <c r="H161" s="147" t="s">
        <v>56</v>
      </c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</row>
    <row r="162" spans="1:22" ht="18" customHeight="1">
      <c r="A162" s="72" t="s">
        <v>44</v>
      </c>
      <c r="B162" s="69" t="s">
        <v>86</v>
      </c>
      <c r="C162" s="42" t="s">
        <v>106</v>
      </c>
      <c r="D162" s="43">
        <f>(D163+D164+D165+D166)/4</f>
        <v>1</v>
      </c>
      <c r="E162" s="43">
        <f>(E163+E164+E165+E166)/4</f>
        <v>1</v>
      </c>
      <c r="F162" s="43">
        <f>(F163+F164+F165+F166)/4</f>
        <v>0.80800000000000005</v>
      </c>
      <c r="G162" s="44">
        <f>D162*(0.5*E162+0.5*F162)</f>
        <v>0.90400000000000003</v>
      </c>
      <c r="H162" s="47" t="s">
        <v>55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>
      <c r="A163" s="87"/>
      <c r="B163" s="88"/>
      <c r="C163" s="38">
        <v>2017</v>
      </c>
      <c r="D163" s="39">
        <v>1</v>
      </c>
      <c r="E163" s="39">
        <v>1</v>
      </c>
      <c r="F163" s="39">
        <v>0.84699999999999998</v>
      </c>
      <c r="G163" s="40">
        <f>D163*(0.5*E163+0.5*F163)</f>
        <v>0.92349999999999999</v>
      </c>
      <c r="H163" s="67" t="s">
        <v>55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>
      <c r="A164" s="87"/>
      <c r="B164" s="88"/>
      <c r="C164" s="38">
        <v>2018</v>
      </c>
      <c r="D164" s="39">
        <v>1</v>
      </c>
      <c r="E164" s="39">
        <v>1</v>
      </c>
      <c r="F164" s="39">
        <v>0.77100000000000002</v>
      </c>
      <c r="G164" s="40">
        <f>D164*(0.5*E164+0.5*F164)</f>
        <v>0.88549999999999995</v>
      </c>
      <c r="H164" s="67" t="s">
        <v>55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>
      <c r="A165" s="87"/>
      <c r="B165" s="88"/>
      <c r="C165" s="38">
        <v>2019</v>
      </c>
      <c r="D165" s="39">
        <v>1</v>
      </c>
      <c r="E165" s="39">
        <v>1</v>
      </c>
      <c r="F165" s="39">
        <v>0.67600000000000005</v>
      </c>
      <c r="G165" s="40">
        <f>D165*(0.5*E165+0.5*F165)</f>
        <v>0.83800000000000008</v>
      </c>
      <c r="H165" s="67" t="s">
        <v>55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9.5" customHeight="1">
      <c r="A166" s="74"/>
      <c r="B166" s="71"/>
      <c r="C166" s="38">
        <v>2020</v>
      </c>
      <c r="D166" s="39">
        <v>1</v>
      </c>
      <c r="E166" s="39">
        <v>1</v>
      </c>
      <c r="F166" s="39">
        <v>0.93799999999999994</v>
      </c>
      <c r="G166" s="40">
        <f>D166*(0.5*E166+0.5*F166)</f>
        <v>0.96899999999999997</v>
      </c>
      <c r="H166" s="67" t="s">
        <v>56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s="139" customFormat="1" ht="19.5" customHeight="1">
      <c r="A167" s="130">
        <v>10</v>
      </c>
      <c r="B167" s="131" t="s">
        <v>87</v>
      </c>
      <c r="C167" s="151" t="s">
        <v>106</v>
      </c>
      <c r="D167" s="133"/>
      <c r="E167" s="134"/>
      <c r="F167" s="135">
        <f>(F168+F169+F170+F171)/4</f>
        <v>0.75824999999999998</v>
      </c>
      <c r="G167" s="136">
        <f>0.8*(G172+G177)/2+0.2*F167</f>
        <v>0.83840000000000003</v>
      </c>
      <c r="H167" s="137" t="s">
        <v>55</v>
      </c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</row>
    <row r="168" spans="1:22" s="139" customFormat="1" ht="19.5" customHeight="1">
      <c r="A168" s="140"/>
      <c r="B168" s="141"/>
      <c r="C168" s="142">
        <v>2017</v>
      </c>
      <c r="D168" s="143"/>
      <c r="E168" s="144"/>
      <c r="F168" s="145">
        <v>0.83099999999999996</v>
      </c>
      <c r="G168" s="146">
        <f>0.8*(G173)+0.2*F168</f>
        <v>0.7662000000000001</v>
      </c>
      <c r="H168" s="147" t="s">
        <v>55</v>
      </c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</row>
    <row r="169" spans="1:22" s="139" customFormat="1" ht="19.5" customHeight="1">
      <c r="A169" s="140"/>
      <c r="B169" s="141"/>
      <c r="C169" s="142">
        <v>2018</v>
      </c>
      <c r="D169" s="143"/>
      <c r="E169" s="144"/>
      <c r="F169" s="145">
        <v>0.76</v>
      </c>
      <c r="G169" s="146">
        <f>0.8*(G174+G179)/2+0.2*F169</f>
        <v>0.86280000000000012</v>
      </c>
      <c r="H169" s="147" t="s">
        <v>55</v>
      </c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</row>
    <row r="170" spans="1:22" s="139" customFormat="1" ht="19.5" customHeight="1">
      <c r="A170" s="140"/>
      <c r="B170" s="141"/>
      <c r="C170" s="142">
        <v>2019</v>
      </c>
      <c r="D170" s="143"/>
      <c r="E170" s="144"/>
      <c r="F170" s="145">
        <v>0.73099999999999998</v>
      </c>
      <c r="G170" s="146">
        <v>0.82</v>
      </c>
      <c r="H170" s="147" t="s">
        <v>55</v>
      </c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</row>
    <row r="171" spans="1:22" s="139" customFormat="1" ht="19.5" customHeight="1">
      <c r="A171" s="154"/>
      <c r="B171" s="160"/>
      <c r="C171" s="142">
        <v>2020</v>
      </c>
      <c r="D171" s="143"/>
      <c r="E171" s="144"/>
      <c r="F171" s="145">
        <v>0.71099999999999997</v>
      </c>
      <c r="G171" s="146">
        <v>0.68</v>
      </c>
      <c r="H171" s="147" t="s">
        <v>58</v>
      </c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</row>
    <row r="172" spans="1:22" ht="18.75" customHeight="1">
      <c r="A172" s="128" t="s">
        <v>45</v>
      </c>
      <c r="B172" s="94" t="s">
        <v>48</v>
      </c>
      <c r="C172" s="42" t="s">
        <v>106</v>
      </c>
      <c r="D172" s="66">
        <f>(D173)/1</f>
        <v>1</v>
      </c>
      <c r="E172" s="66">
        <f>(E173+E174+E175+E176)/4</f>
        <v>0.70825000000000005</v>
      </c>
      <c r="F172" s="66">
        <f>(F173+F174+F175+F176)/4</f>
        <v>0.72550000000000003</v>
      </c>
      <c r="G172" s="44">
        <f>D172*(0.5*E172+0.5*F172)</f>
        <v>0.71687500000000004</v>
      </c>
      <c r="H172" s="45" t="s">
        <v>55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.75" customHeight="1">
      <c r="A173" s="129"/>
      <c r="B173" s="95"/>
      <c r="C173" s="38">
        <v>2017</v>
      </c>
      <c r="D173" s="39">
        <v>1</v>
      </c>
      <c r="E173" s="39">
        <v>0.83299999999999996</v>
      </c>
      <c r="F173" s="39">
        <v>0.66700000000000004</v>
      </c>
      <c r="G173" s="40">
        <f>D173*(0.5*E173+0.5*F173)</f>
        <v>0.75</v>
      </c>
      <c r="H173" s="41" t="s">
        <v>55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.75" customHeight="1">
      <c r="A174" s="129"/>
      <c r="B174" s="95"/>
      <c r="C174" s="38">
        <v>2018</v>
      </c>
      <c r="D174" s="39" t="s">
        <v>50</v>
      </c>
      <c r="E174" s="39">
        <v>0.8</v>
      </c>
      <c r="F174" s="39">
        <v>0.754</v>
      </c>
      <c r="G174" s="40">
        <f>1*(0.5*E174+0.5*F174)</f>
        <v>0.77700000000000002</v>
      </c>
      <c r="H174" s="41" t="s">
        <v>55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.75" customHeight="1">
      <c r="A175" s="129"/>
      <c r="B175" s="95"/>
      <c r="C175" s="38">
        <v>2019</v>
      </c>
      <c r="D175" s="39" t="s">
        <v>50</v>
      </c>
      <c r="E175" s="39">
        <v>0.6</v>
      </c>
      <c r="F175" s="39">
        <v>0.74399999999999999</v>
      </c>
      <c r="G175" s="40">
        <f>1*(0.5*E175+0.5*F175)</f>
        <v>0.67199999999999993</v>
      </c>
      <c r="H175" s="41" t="s">
        <v>58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.75" customHeight="1">
      <c r="A176" s="74"/>
      <c r="B176" s="86"/>
      <c r="C176" s="38">
        <v>2020</v>
      </c>
      <c r="D176" s="39" t="s">
        <v>50</v>
      </c>
      <c r="E176" s="39">
        <v>0.6</v>
      </c>
      <c r="F176" s="39">
        <v>0.73699999999999999</v>
      </c>
      <c r="G176" s="40">
        <f>1*(0.5*E176+0.5*F176)</f>
        <v>0.66849999999999998</v>
      </c>
      <c r="H176" s="41" t="s">
        <v>58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.75" customHeight="1">
      <c r="A177" s="72" t="s">
        <v>156</v>
      </c>
      <c r="B177" s="69" t="s">
        <v>49</v>
      </c>
      <c r="C177" s="42" t="s">
        <v>106</v>
      </c>
      <c r="D177" s="43">
        <f>(D179+D180)/2</f>
        <v>1</v>
      </c>
      <c r="E177" s="43">
        <f>(E179+E180)/2</f>
        <v>1</v>
      </c>
      <c r="F177" s="43" t="s">
        <v>155</v>
      </c>
      <c r="G177" s="44">
        <f>D177*(0.5*E177+0.5*1)</f>
        <v>1</v>
      </c>
      <c r="H177" s="45" t="s">
        <v>56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7.75" customHeight="1">
      <c r="A178" s="73"/>
      <c r="B178" s="85"/>
      <c r="C178" s="38">
        <v>2017</v>
      </c>
      <c r="D178" s="39" t="s">
        <v>155</v>
      </c>
      <c r="E178" s="39" t="s">
        <v>155</v>
      </c>
      <c r="F178" s="39" t="s">
        <v>50</v>
      </c>
      <c r="G178" s="40" t="s">
        <v>50</v>
      </c>
      <c r="H178" s="41" t="s">
        <v>63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.75" customHeight="1">
      <c r="A179" s="73"/>
      <c r="B179" s="85"/>
      <c r="C179" s="38">
        <v>2018</v>
      </c>
      <c r="D179" s="39">
        <v>1</v>
      </c>
      <c r="E179" s="39">
        <v>1</v>
      </c>
      <c r="F179" s="39" t="s">
        <v>155</v>
      </c>
      <c r="G179" s="40">
        <v>1</v>
      </c>
      <c r="H179" s="41" t="s">
        <v>56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.75" customHeight="1">
      <c r="A180" s="73"/>
      <c r="B180" s="85"/>
      <c r="C180" s="38">
        <v>2019</v>
      </c>
      <c r="D180" s="39">
        <v>1</v>
      </c>
      <c r="E180" s="39">
        <v>1</v>
      </c>
      <c r="F180" s="39" t="s">
        <v>50</v>
      </c>
      <c r="G180" s="40">
        <f>D180*(0.5*E180+0.5*1)</f>
        <v>1</v>
      </c>
      <c r="H180" s="41" t="s">
        <v>56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8.5" customHeight="1">
      <c r="A181" s="74"/>
      <c r="B181" s="86"/>
      <c r="C181" s="38">
        <v>2020</v>
      </c>
      <c r="D181" s="39" t="s">
        <v>155</v>
      </c>
      <c r="E181" s="39" t="s">
        <v>155</v>
      </c>
      <c r="F181" s="39" t="s">
        <v>50</v>
      </c>
      <c r="G181" s="40" t="s">
        <v>50</v>
      </c>
      <c r="H181" s="41" t="s">
        <v>63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s="139" customFormat="1" ht="17.25" customHeight="1">
      <c r="A182" s="130" t="s">
        <v>31</v>
      </c>
      <c r="B182" s="131" t="s">
        <v>88</v>
      </c>
      <c r="C182" s="151" t="s">
        <v>106</v>
      </c>
      <c r="D182" s="133"/>
      <c r="E182" s="134"/>
      <c r="F182" s="135">
        <f>(F183+F184+F185+F186)/4</f>
        <v>0.995</v>
      </c>
      <c r="G182" s="136">
        <f>0.8*(G187+G192+G197)/3+0.2*F182</f>
        <v>0.91680316666666672</v>
      </c>
      <c r="H182" s="137" t="s">
        <v>55</v>
      </c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</row>
    <row r="183" spans="1:22" s="139" customFormat="1" ht="17.25" customHeight="1">
      <c r="A183" s="140"/>
      <c r="B183" s="141"/>
      <c r="C183" s="142">
        <v>2017</v>
      </c>
      <c r="D183" s="143"/>
      <c r="E183" s="144"/>
      <c r="F183" s="145">
        <v>1</v>
      </c>
      <c r="G183" s="146">
        <f>0.8*(G188+G193+G198)/3+0.2*F183+0.01</f>
        <v>0.82136533333333328</v>
      </c>
      <c r="H183" s="147" t="s">
        <v>55</v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</row>
    <row r="184" spans="1:22" s="139" customFormat="1" ht="17.25" customHeight="1">
      <c r="A184" s="140"/>
      <c r="B184" s="141"/>
      <c r="C184" s="142">
        <v>2018</v>
      </c>
      <c r="D184" s="143"/>
      <c r="E184" s="144"/>
      <c r="F184" s="145">
        <v>0.996</v>
      </c>
      <c r="G184" s="146">
        <f>0.8*(G189+G194+G199)/3+0.2*F184</f>
        <v>0.96949040000000009</v>
      </c>
      <c r="H184" s="147" t="s">
        <v>56</v>
      </c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</row>
    <row r="185" spans="1:22" s="139" customFormat="1" ht="17.25" customHeight="1">
      <c r="A185" s="140"/>
      <c r="B185" s="141"/>
      <c r="C185" s="142">
        <v>2019</v>
      </c>
      <c r="D185" s="143"/>
      <c r="E185" s="144"/>
      <c r="F185" s="145">
        <v>1</v>
      </c>
      <c r="G185" s="146">
        <f>0.8*(G190+G195+G200)/3+0.2*F185+0.01</f>
        <v>0.95853333333333346</v>
      </c>
      <c r="H185" s="147" t="s">
        <v>55</v>
      </c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</row>
    <row r="186" spans="1:22" s="139" customFormat="1" ht="17.25" customHeight="1">
      <c r="A186" s="154"/>
      <c r="B186" s="160"/>
      <c r="C186" s="142">
        <v>2020</v>
      </c>
      <c r="D186" s="143"/>
      <c r="E186" s="144"/>
      <c r="F186" s="145">
        <v>0.98399999999999999</v>
      </c>
      <c r="G186" s="146">
        <f>0.8*(G191+G196+G201)/3+0.2*F186</f>
        <v>0.93813333333333326</v>
      </c>
      <c r="H186" s="147" t="s">
        <v>55</v>
      </c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</row>
    <row r="187" spans="1:22" ht="17.25" customHeight="1">
      <c r="A187" s="72" t="s">
        <v>46</v>
      </c>
      <c r="B187" s="97" t="s">
        <v>89</v>
      </c>
      <c r="C187" s="42" t="s">
        <v>106</v>
      </c>
      <c r="D187" s="43">
        <f>(D188+D189+D190+D191)/4</f>
        <v>0.97</v>
      </c>
      <c r="E187" s="43">
        <f>(E188+E189+E190+E191)/4</f>
        <v>0.90325</v>
      </c>
      <c r="F187" s="43">
        <f>(F188+F189+F190+F191)/4</f>
        <v>0.99700000000000011</v>
      </c>
      <c r="G187" s="44">
        <f>D187*(0.5*E187+0.5*F187)</f>
        <v>0.92162125000000006</v>
      </c>
      <c r="H187" s="45" t="s">
        <v>55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7.25" customHeight="1">
      <c r="A188" s="73"/>
      <c r="B188" s="90"/>
      <c r="C188" s="38">
        <v>2017</v>
      </c>
      <c r="D188" s="39">
        <v>0.88200000000000001</v>
      </c>
      <c r="E188" s="39">
        <v>0.82</v>
      </c>
      <c r="F188" s="39">
        <v>1</v>
      </c>
      <c r="G188" s="40">
        <f>D188*(0.5*E188+0.5*F188)</f>
        <v>0.80261999999999989</v>
      </c>
      <c r="H188" s="41" t="s">
        <v>55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7.25" customHeight="1">
      <c r="A189" s="73"/>
      <c r="B189" s="90"/>
      <c r="C189" s="38">
        <v>2018</v>
      </c>
      <c r="D189" s="39">
        <v>0.998</v>
      </c>
      <c r="E189" s="39">
        <v>0.91300000000000003</v>
      </c>
      <c r="F189" s="39">
        <v>0.998</v>
      </c>
      <c r="G189" s="40">
        <f>D189*(0.5*E189+0.5*F189)</f>
        <v>0.95358900000000002</v>
      </c>
      <c r="H189" s="41" t="s">
        <v>56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7.25" customHeight="1">
      <c r="A190" s="73"/>
      <c r="B190" s="90"/>
      <c r="C190" s="38">
        <v>2019</v>
      </c>
      <c r="D190" s="39">
        <v>1</v>
      </c>
      <c r="E190" s="39">
        <v>0.94</v>
      </c>
      <c r="F190" s="39">
        <v>1</v>
      </c>
      <c r="G190" s="40">
        <f>D190*(0.5*E190+0.5*F190)</f>
        <v>0.97</v>
      </c>
      <c r="H190" s="41" t="s">
        <v>56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>
      <c r="A191" s="74"/>
      <c r="B191" s="91"/>
      <c r="C191" s="38">
        <v>2020</v>
      </c>
      <c r="D191" s="39">
        <v>1</v>
      </c>
      <c r="E191" s="39">
        <v>0.94</v>
      </c>
      <c r="F191" s="39">
        <v>0.99</v>
      </c>
      <c r="G191" s="40">
        <f>D191*(0.5*E191+0.5*F191)</f>
        <v>0.96499999999999997</v>
      </c>
      <c r="H191" s="41" t="s">
        <v>56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>
      <c r="A192" s="72" t="s">
        <v>93</v>
      </c>
      <c r="B192" s="94" t="s">
        <v>90</v>
      </c>
      <c r="C192" s="42" t="s">
        <v>106</v>
      </c>
      <c r="D192" s="43" t="s">
        <v>50</v>
      </c>
      <c r="E192" s="43">
        <f>(E193+E194+E195+E196)/4</f>
        <v>0.9325</v>
      </c>
      <c r="F192" s="43">
        <f>(F193+F194+F195+F196)/4</f>
        <v>0.8125</v>
      </c>
      <c r="G192" s="44">
        <f>1*(0.5*E192+0.5*F192)</f>
        <v>0.87250000000000005</v>
      </c>
      <c r="H192" s="45" t="s">
        <v>55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>
      <c r="A193" s="73"/>
      <c r="B193" s="85"/>
      <c r="C193" s="38">
        <v>2017</v>
      </c>
      <c r="D193" s="39" t="s">
        <v>50</v>
      </c>
      <c r="E193" s="39">
        <v>0.73</v>
      </c>
      <c r="F193" s="39">
        <v>0.75</v>
      </c>
      <c r="G193" s="40">
        <f>1*(0.5*E193+0.5*F193)</f>
        <v>0.74</v>
      </c>
      <c r="H193" s="41" t="s">
        <v>55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>
      <c r="A194" s="73"/>
      <c r="B194" s="85"/>
      <c r="C194" s="38">
        <v>2018</v>
      </c>
      <c r="D194" s="39" t="s">
        <v>50</v>
      </c>
      <c r="E194" s="39">
        <v>1</v>
      </c>
      <c r="F194" s="39">
        <v>1</v>
      </c>
      <c r="G194" s="40">
        <f t="shared" ref="G194:G196" si="16">1*(0.5*E194+0.5*F194)</f>
        <v>1</v>
      </c>
      <c r="H194" s="41" t="s">
        <v>56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>
      <c r="A195" s="73"/>
      <c r="B195" s="85"/>
      <c r="C195" s="38">
        <v>2019</v>
      </c>
      <c r="D195" s="39" t="s">
        <v>50</v>
      </c>
      <c r="E195" s="39">
        <v>1</v>
      </c>
      <c r="F195" s="39">
        <v>0.75</v>
      </c>
      <c r="G195" s="40">
        <f t="shared" si="16"/>
        <v>0.875</v>
      </c>
      <c r="H195" s="41" t="s">
        <v>55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" customHeight="1">
      <c r="A196" s="74"/>
      <c r="B196" s="86"/>
      <c r="C196" s="38">
        <v>2020</v>
      </c>
      <c r="D196" s="39" t="s">
        <v>50</v>
      </c>
      <c r="E196" s="39">
        <v>1</v>
      </c>
      <c r="F196" s="39">
        <v>0.75</v>
      </c>
      <c r="G196" s="40">
        <f t="shared" si="16"/>
        <v>0.875</v>
      </c>
      <c r="H196" s="41" t="s">
        <v>55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" customHeight="1">
      <c r="A197" s="72" t="s">
        <v>94</v>
      </c>
      <c r="B197" s="94" t="s">
        <v>91</v>
      </c>
      <c r="C197" s="42" t="s">
        <v>106</v>
      </c>
      <c r="D197" s="43">
        <f>(1+1+D200+1)/4</f>
        <v>0.99049999999999994</v>
      </c>
      <c r="E197" s="43">
        <f>(E198+E199+E200+E201)/4</f>
        <v>0.8125</v>
      </c>
      <c r="F197" s="43">
        <f>(F198+F199+F200+F201)/4</f>
        <v>1</v>
      </c>
      <c r="G197" s="44">
        <f>D197*(0.5*E197+0.5*F197)</f>
        <v>0.89764062499999997</v>
      </c>
      <c r="H197" s="47" t="s">
        <v>55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" customHeight="1">
      <c r="A198" s="73"/>
      <c r="B198" s="85"/>
      <c r="C198" s="38">
        <v>2017</v>
      </c>
      <c r="D198" s="39" t="s">
        <v>50</v>
      </c>
      <c r="E198" s="39">
        <v>0.5</v>
      </c>
      <c r="F198" s="39">
        <v>1</v>
      </c>
      <c r="G198" s="40">
        <f>1*(0.5*E198+0.5*F198)</f>
        <v>0.75</v>
      </c>
      <c r="H198" s="68" t="s">
        <v>55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" customHeight="1">
      <c r="A199" s="73"/>
      <c r="B199" s="85"/>
      <c r="C199" s="38">
        <v>2018</v>
      </c>
      <c r="D199" s="39" t="s">
        <v>50</v>
      </c>
      <c r="E199" s="39">
        <v>0.87</v>
      </c>
      <c r="F199" s="39">
        <v>1</v>
      </c>
      <c r="G199" s="40">
        <f>1*(0.5*E199+0.5*F199)</f>
        <v>0.93500000000000005</v>
      </c>
      <c r="H199" s="68" t="s">
        <v>55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" customHeight="1">
      <c r="A200" s="73"/>
      <c r="B200" s="85"/>
      <c r="C200" s="38">
        <v>2019</v>
      </c>
      <c r="D200" s="39">
        <v>0.96199999999999997</v>
      </c>
      <c r="E200" s="39">
        <v>1</v>
      </c>
      <c r="F200" s="39">
        <v>1</v>
      </c>
      <c r="G200" s="40">
        <f>D200*(0.5*E200+0.5*F200)</f>
        <v>0.96199999999999997</v>
      </c>
      <c r="H200" s="68" t="s">
        <v>56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>
      <c r="A201" s="74"/>
      <c r="B201" s="86"/>
      <c r="C201" s="38">
        <v>2020</v>
      </c>
      <c r="D201" s="39" t="s">
        <v>50</v>
      </c>
      <c r="E201" s="39">
        <v>0.88</v>
      </c>
      <c r="F201" s="39">
        <v>1</v>
      </c>
      <c r="G201" s="40">
        <f>1*(0.5*E201+0.5*F201)</f>
        <v>0.94</v>
      </c>
      <c r="H201" s="68" t="s">
        <v>55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s="139" customFormat="1" ht="16.5" customHeight="1">
      <c r="A202" s="130" t="s">
        <v>32</v>
      </c>
      <c r="B202" s="131" t="s">
        <v>92</v>
      </c>
      <c r="C202" s="151" t="s">
        <v>106</v>
      </c>
      <c r="D202" s="133"/>
      <c r="E202" s="134"/>
      <c r="F202" s="135">
        <f>(F203+F204+F205+F206)/4</f>
        <v>0.93674999999999997</v>
      </c>
      <c r="G202" s="136">
        <f>0.8*(G207+G212+G217+G222)/4+0.2*F202</f>
        <v>0.93505705000000006</v>
      </c>
      <c r="H202" s="137" t="s">
        <v>55</v>
      </c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</row>
    <row r="203" spans="1:22" s="139" customFormat="1" ht="16.5" customHeight="1">
      <c r="A203" s="140"/>
      <c r="B203" s="141"/>
      <c r="C203" s="142">
        <v>2017</v>
      </c>
      <c r="D203" s="143"/>
      <c r="E203" s="144"/>
      <c r="F203" s="145">
        <v>0.96</v>
      </c>
      <c r="G203" s="146">
        <f>0.8*(G208+G213+G218+G223)/4+0.2*F203</f>
        <v>0.90712080000000017</v>
      </c>
      <c r="H203" s="147" t="s">
        <v>55</v>
      </c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</row>
    <row r="204" spans="1:22" s="139" customFormat="1" ht="16.5" customHeight="1">
      <c r="A204" s="140"/>
      <c r="B204" s="141"/>
      <c r="C204" s="142">
        <v>2018</v>
      </c>
      <c r="D204" s="143"/>
      <c r="E204" s="144"/>
      <c r="F204" s="145">
        <v>0.90200000000000002</v>
      </c>
      <c r="G204" s="146">
        <f>0.8*(G209+G214+G219+G224)/4+0.2*F204+0.01</f>
        <v>0.94497170000000008</v>
      </c>
      <c r="H204" s="147" t="s">
        <v>55</v>
      </c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</row>
    <row r="205" spans="1:22" s="139" customFormat="1" ht="16.5" customHeight="1">
      <c r="A205" s="140"/>
      <c r="B205" s="141"/>
      <c r="C205" s="142">
        <v>2019</v>
      </c>
      <c r="D205" s="143"/>
      <c r="E205" s="144"/>
      <c r="F205" s="145">
        <v>1</v>
      </c>
      <c r="G205" s="146">
        <f t="shared" ref="G205:G206" si="17">0.8*(G210+G215+G220+G225)/4+0.2*F205</f>
        <v>0.95939079999999999</v>
      </c>
      <c r="H205" s="147" t="s">
        <v>56</v>
      </c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</row>
    <row r="206" spans="1:22" s="139" customFormat="1" ht="17.25" customHeight="1">
      <c r="A206" s="148"/>
      <c r="B206" s="149"/>
      <c r="C206" s="142">
        <v>2020</v>
      </c>
      <c r="D206" s="143"/>
      <c r="E206" s="144"/>
      <c r="F206" s="145">
        <v>0.88500000000000001</v>
      </c>
      <c r="G206" s="146">
        <f t="shared" si="17"/>
        <v>0.93899560000000015</v>
      </c>
      <c r="H206" s="147" t="s">
        <v>55</v>
      </c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</row>
    <row r="207" spans="1:22" ht="18.75" customHeight="1">
      <c r="A207" s="128" t="s">
        <v>158</v>
      </c>
      <c r="B207" s="94" t="s">
        <v>160</v>
      </c>
      <c r="C207" s="42" t="s">
        <v>106</v>
      </c>
      <c r="D207" s="43">
        <f>(D208+D209+D210+D211)/4</f>
        <v>0.98175000000000001</v>
      </c>
      <c r="E207" s="43">
        <f t="shared" ref="E207" si="18">(E208+E209+E210+E211)/4</f>
        <v>0.93374999999999997</v>
      </c>
      <c r="F207" s="43">
        <f>(F208+F209+F210+F211)/4</f>
        <v>0.91600000000000004</v>
      </c>
      <c r="G207" s="44">
        <f>D207*(0.5*E207+0.5*F207)</f>
        <v>0.90799603125000006</v>
      </c>
      <c r="H207" s="45" t="s">
        <v>55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.75" customHeight="1">
      <c r="A208" s="73"/>
      <c r="B208" s="85"/>
      <c r="C208" s="38">
        <v>2017</v>
      </c>
      <c r="D208" s="39">
        <v>0.97399999999999998</v>
      </c>
      <c r="E208" s="39">
        <v>0.875</v>
      </c>
      <c r="F208" s="39">
        <v>0.66400000000000003</v>
      </c>
      <c r="G208" s="40">
        <f t="shared" ref="G208:G211" si="19">D208*(0.5*E208+0.5*F208)</f>
        <v>0.74949300000000008</v>
      </c>
      <c r="H208" s="41" t="s">
        <v>55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.75" customHeight="1">
      <c r="A209" s="73"/>
      <c r="B209" s="85"/>
      <c r="C209" s="38">
        <v>2018</v>
      </c>
      <c r="D209" s="39">
        <v>0.99099999999999999</v>
      </c>
      <c r="E209" s="39">
        <v>0.86</v>
      </c>
      <c r="F209" s="39">
        <v>1</v>
      </c>
      <c r="G209" s="40">
        <f t="shared" si="19"/>
        <v>0.92162999999999995</v>
      </c>
      <c r="H209" s="41" t="s">
        <v>55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.75" customHeight="1">
      <c r="A210" s="73"/>
      <c r="B210" s="85"/>
      <c r="C210" s="38">
        <v>2019</v>
      </c>
      <c r="D210" s="39">
        <v>0.97099999999999997</v>
      </c>
      <c r="E210" s="39">
        <v>1</v>
      </c>
      <c r="F210" s="39">
        <v>1</v>
      </c>
      <c r="G210" s="40">
        <f t="shared" si="19"/>
        <v>0.97099999999999997</v>
      </c>
      <c r="H210" s="41" t="s">
        <v>56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.75" customHeight="1">
      <c r="A211" s="74"/>
      <c r="B211" s="86"/>
      <c r="C211" s="38">
        <v>2020</v>
      </c>
      <c r="D211" s="39">
        <v>0.99099999999999999</v>
      </c>
      <c r="E211" s="39">
        <v>1</v>
      </c>
      <c r="F211" s="39">
        <v>1</v>
      </c>
      <c r="G211" s="40">
        <f t="shared" si="19"/>
        <v>0.99099999999999999</v>
      </c>
      <c r="H211" s="41" t="s">
        <v>56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.75" customHeight="1">
      <c r="A212" s="72" t="s">
        <v>157</v>
      </c>
      <c r="B212" s="69" t="s">
        <v>161</v>
      </c>
      <c r="C212" s="42" t="s">
        <v>106</v>
      </c>
      <c r="D212" s="43">
        <f>(D213+D214+D215+0.966)/4</f>
        <v>0.97225000000000006</v>
      </c>
      <c r="E212" s="43">
        <f t="shared" ref="E212" si="20">(E213+E214+E215+E216)/4</f>
        <v>0.90399999999999991</v>
      </c>
      <c r="F212" s="43">
        <f>(F213+F214+F215+F216)/4</f>
        <v>0.91075000000000006</v>
      </c>
      <c r="G212" s="44">
        <f>D212*(0.5*E212+0.5*F212)</f>
        <v>0.88219534375000008</v>
      </c>
      <c r="H212" s="45" t="s">
        <v>55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.75" customHeight="1">
      <c r="A213" s="73"/>
      <c r="B213" s="85"/>
      <c r="C213" s="38">
        <v>2017</v>
      </c>
      <c r="D213" s="39">
        <v>0.97699999999999998</v>
      </c>
      <c r="E213" s="39">
        <v>0.82599999999999996</v>
      </c>
      <c r="F213" s="39">
        <v>1</v>
      </c>
      <c r="G213" s="40">
        <f t="shared" ref="G213:G214" si="21">D213*(0.5*E213+0.5*F213)</f>
        <v>0.89200100000000004</v>
      </c>
      <c r="H213" s="41" t="s">
        <v>55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.75" customHeight="1">
      <c r="A214" s="73"/>
      <c r="B214" s="85"/>
      <c r="C214" s="38">
        <v>2018</v>
      </c>
      <c r="D214" s="39">
        <v>0.98</v>
      </c>
      <c r="E214" s="39">
        <v>0.92</v>
      </c>
      <c r="F214" s="39">
        <v>0.91700000000000004</v>
      </c>
      <c r="G214" s="40">
        <f t="shared" si="21"/>
        <v>0.9001300000000001</v>
      </c>
      <c r="H214" s="41" t="s">
        <v>55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.75" customHeight="1">
      <c r="A215" s="73"/>
      <c r="B215" s="85"/>
      <c r="C215" s="38">
        <v>2019</v>
      </c>
      <c r="D215" s="39">
        <v>0.96599999999999997</v>
      </c>
      <c r="E215" s="39">
        <v>0.91300000000000003</v>
      </c>
      <c r="F215" s="39">
        <v>0.91700000000000004</v>
      </c>
      <c r="G215" s="40">
        <f>D215*(0.5*E215+0.5*F215)</f>
        <v>0.88388999999999995</v>
      </c>
      <c r="H215" s="41" t="s">
        <v>55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.75" customHeight="1">
      <c r="A216" s="74"/>
      <c r="B216" s="86"/>
      <c r="C216" s="38">
        <v>2020</v>
      </c>
      <c r="D216" s="39" t="s">
        <v>165</v>
      </c>
      <c r="E216" s="39">
        <v>0.95699999999999996</v>
      </c>
      <c r="F216" s="39">
        <v>0.80900000000000005</v>
      </c>
      <c r="G216" s="40">
        <f>0.966*(0.5*E216+0.5*F216)</f>
        <v>0.85297800000000001</v>
      </c>
      <c r="H216" s="41" t="s">
        <v>122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.75" customHeight="1">
      <c r="A217" s="72" t="s">
        <v>159</v>
      </c>
      <c r="B217" s="69" t="s">
        <v>162</v>
      </c>
      <c r="C217" s="42" t="s">
        <v>106</v>
      </c>
      <c r="D217" s="43">
        <f>(D218+D219+D220+0.966)/4</f>
        <v>0.96900000000000008</v>
      </c>
      <c r="E217" s="43">
        <f t="shared" ref="E217" si="22">(E218+E219+E220+E221)/4</f>
        <v>1</v>
      </c>
      <c r="F217" s="43">
        <f>(F218+F219+F220+F221)/4</f>
        <v>0.96975</v>
      </c>
      <c r="G217" s="44">
        <f>D217*(0.5*E217+0.5*F217)</f>
        <v>0.95434387500000006</v>
      </c>
      <c r="H217" s="45" t="s">
        <v>56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.75" customHeight="1">
      <c r="A218" s="73"/>
      <c r="B218" s="85"/>
      <c r="C218" s="38">
        <v>2017</v>
      </c>
      <c r="D218" s="39">
        <v>0.96299999999999997</v>
      </c>
      <c r="E218" s="39">
        <v>1</v>
      </c>
      <c r="F218" s="39">
        <v>0.94</v>
      </c>
      <c r="G218" s="40">
        <f t="shared" ref="G218:G220" si="23">D218*(0.5*E218+0.5*F218)</f>
        <v>0.93411</v>
      </c>
      <c r="H218" s="39" t="s">
        <v>55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.75" customHeight="1">
      <c r="A219" s="73"/>
      <c r="B219" s="85"/>
      <c r="C219" s="38">
        <v>2018</v>
      </c>
      <c r="D219" s="39">
        <v>0.97899999999999998</v>
      </c>
      <c r="E219" s="39">
        <v>1</v>
      </c>
      <c r="F219" s="39">
        <v>0.94299999999999995</v>
      </c>
      <c r="G219" s="40">
        <f>D219*(0.5*E219+0.5*F219)</f>
        <v>0.95109849999999996</v>
      </c>
      <c r="H219" s="39" t="s">
        <v>56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.75" customHeight="1">
      <c r="A220" s="73"/>
      <c r="B220" s="85"/>
      <c r="C220" s="38">
        <v>2019</v>
      </c>
      <c r="D220" s="39">
        <v>0.96799999999999997</v>
      </c>
      <c r="E220" s="39">
        <v>1</v>
      </c>
      <c r="F220" s="39">
        <v>0.996</v>
      </c>
      <c r="G220" s="40">
        <f t="shared" si="23"/>
        <v>0.96606399999999992</v>
      </c>
      <c r="H220" s="41" t="s">
        <v>56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6.5" customHeight="1">
      <c r="A221" s="74"/>
      <c r="B221" s="86"/>
      <c r="C221" s="38">
        <v>2020</v>
      </c>
      <c r="D221" s="39" t="s">
        <v>166</v>
      </c>
      <c r="E221" s="39">
        <v>1</v>
      </c>
      <c r="F221" s="39">
        <v>1</v>
      </c>
      <c r="G221" s="40">
        <f>0.966*(0.5*E221+0.5*F221)</f>
        <v>0.96599999999999997</v>
      </c>
      <c r="H221" s="41" t="s">
        <v>119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.75" customHeight="1">
      <c r="A222" s="72" t="s">
        <v>164</v>
      </c>
      <c r="B222" s="69" t="s">
        <v>163</v>
      </c>
      <c r="C222" s="42" t="s">
        <v>106</v>
      </c>
      <c r="D222" s="43">
        <f>(D223+D224+D225+D226)/4</f>
        <v>0.99399999999999999</v>
      </c>
      <c r="E222" s="43">
        <f t="shared" ref="E222" si="24">(E223+E224+E225+E226)/4</f>
        <v>1</v>
      </c>
      <c r="F222" s="43">
        <f>(F223+F224+F225+F226)/4</f>
        <v>1</v>
      </c>
      <c r="G222" s="44">
        <f>D222*(0.5*E222+0.5*F222)</f>
        <v>0.99399999999999999</v>
      </c>
      <c r="H222" s="45" t="s">
        <v>56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.75" customHeight="1">
      <c r="A223" s="73"/>
      <c r="B223" s="85"/>
      <c r="C223" s="38">
        <v>2017</v>
      </c>
      <c r="D223" s="39">
        <v>1</v>
      </c>
      <c r="E223" s="39">
        <v>1</v>
      </c>
      <c r="F223" s="39">
        <v>1</v>
      </c>
      <c r="G223" s="40">
        <f t="shared" ref="G223:G226" si="25">D223*(0.5*E223+0.5*F223)</f>
        <v>1</v>
      </c>
      <c r="H223" s="39" t="s">
        <v>56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.75" customHeight="1">
      <c r="A224" s="73"/>
      <c r="B224" s="85"/>
      <c r="C224" s="38">
        <v>2018</v>
      </c>
      <c r="D224" s="39">
        <v>1</v>
      </c>
      <c r="E224" s="39">
        <v>1</v>
      </c>
      <c r="F224" s="39">
        <v>1</v>
      </c>
      <c r="G224" s="40">
        <f>D224*(0.5*E224+0.5*F224)</f>
        <v>1</v>
      </c>
      <c r="H224" s="39" t="s">
        <v>56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.75" customHeight="1">
      <c r="A225" s="73"/>
      <c r="B225" s="85"/>
      <c r="C225" s="38">
        <v>2019</v>
      </c>
      <c r="D225" s="39">
        <v>0.97599999999999998</v>
      </c>
      <c r="E225" s="39">
        <v>1</v>
      </c>
      <c r="F225" s="39">
        <v>1</v>
      </c>
      <c r="G225" s="40">
        <f t="shared" si="25"/>
        <v>0.97599999999999998</v>
      </c>
      <c r="H225" s="39" t="s">
        <v>56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6.5" customHeight="1">
      <c r="A226" s="74"/>
      <c r="B226" s="86"/>
      <c r="C226" s="38">
        <v>2020</v>
      </c>
      <c r="D226" s="39">
        <v>1</v>
      </c>
      <c r="E226" s="39">
        <v>1</v>
      </c>
      <c r="F226" s="39">
        <v>1</v>
      </c>
      <c r="G226" s="40">
        <f t="shared" si="25"/>
        <v>1</v>
      </c>
      <c r="H226" s="39" t="s">
        <v>56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s="139" customFormat="1" ht="19.5" customHeight="1">
      <c r="A227" s="130" t="s">
        <v>33</v>
      </c>
      <c r="B227" s="131" t="s">
        <v>95</v>
      </c>
      <c r="C227" s="151" t="s">
        <v>106</v>
      </c>
      <c r="D227" s="156"/>
      <c r="E227" s="157"/>
      <c r="F227" s="135">
        <f>(F228+F229+F230+F231)/4</f>
        <v>0.98849999999999993</v>
      </c>
      <c r="G227" s="136">
        <f>0.8*G232+0.2*F227</f>
        <v>0.95450000000000013</v>
      </c>
      <c r="H227" s="137" t="s">
        <v>56</v>
      </c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</row>
    <row r="228" spans="1:22" s="139" customFormat="1" ht="19.5" customHeight="1">
      <c r="A228" s="140"/>
      <c r="B228" s="141"/>
      <c r="C228" s="142">
        <v>2017</v>
      </c>
      <c r="D228" s="158"/>
      <c r="E228" s="159"/>
      <c r="F228" s="145">
        <v>0.95599999999999996</v>
      </c>
      <c r="G228" s="146">
        <f>0.8*G233+0.2*F228</f>
        <v>0.94720000000000015</v>
      </c>
      <c r="H228" s="147" t="s">
        <v>56</v>
      </c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</row>
    <row r="229" spans="1:22" s="139" customFormat="1" ht="19.5" customHeight="1">
      <c r="A229" s="140"/>
      <c r="B229" s="141"/>
      <c r="C229" s="142">
        <v>2018</v>
      </c>
      <c r="D229" s="158"/>
      <c r="E229" s="159"/>
      <c r="F229" s="145">
        <v>0.998</v>
      </c>
      <c r="G229" s="146">
        <f>0.8*G234+0.2*F229</f>
        <v>0.96760000000000002</v>
      </c>
      <c r="H229" s="147" t="s">
        <v>56</v>
      </c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</row>
    <row r="230" spans="1:22" s="139" customFormat="1" ht="19.5" customHeight="1">
      <c r="A230" s="140"/>
      <c r="B230" s="141"/>
      <c r="C230" s="142">
        <v>2019</v>
      </c>
      <c r="D230" s="158"/>
      <c r="E230" s="159"/>
      <c r="F230" s="145">
        <v>1</v>
      </c>
      <c r="G230" s="146">
        <f>0.8*G235+0.2*F230</f>
        <v>0.9476</v>
      </c>
      <c r="H230" s="147" t="s">
        <v>56</v>
      </c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</row>
    <row r="231" spans="1:22" s="139" customFormat="1" ht="19.5" customHeight="1">
      <c r="A231" s="148"/>
      <c r="B231" s="149"/>
      <c r="C231" s="142">
        <v>2020</v>
      </c>
      <c r="D231" s="158"/>
      <c r="E231" s="159"/>
      <c r="F231" s="145">
        <v>1</v>
      </c>
      <c r="G231" s="146">
        <f>0.8*G236+0.2*F231</f>
        <v>0.9556</v>
      </c>
      <c r="H231" s="147" t="s">
        <v>56</v>
      </c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</row>
    <row r="232" spans="1:22" ht="19.5" customHeight="1">
      <c r="A232" s="72" t="s">
        <v>167</v>
      </c>
      <c r="B232" s="97" t="s">
        <v>96</v>
      </c>
      <c r="C232" s="42" t="s">
        <v>106</v>
      </c>
      <c r="D232" s="43">
        <f>(D233+D234+1+1)/4</f>
        <v>1</v>
      </c>
      <c r="E232" s="43">
        <f>(E233+E234+E235+E236)/4</f>
        <v>1</v>
      </c>
      <c r="F232" s="43">
        <f>(F233+F234+F235+F236)/4</f>
        <v>0.89200000000000013</v>
      </c>
      <c r="G232" s="44">
        <f>D232*(0.5*E232+0.5*F232)</f>
        <v>0.94600000000000006</v>
      </c>
      <c r="H232" s="45" t="s">
        <v>56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9.5" customHeight="1">
      <c r="A233" s="73"/>
      <c r="B233" s="90"/>
      <c r="C233" s="38">
        <v>2017</v>
      </c>
      <c r="D233" s="39">
        <v>1</v>
      </c>
      <c r="E233" s="39">
        <v>1</v>
      </c>
      <c r="F233" s="39">
        <v>0.89</v>
      </c>
      <c r="G233" s="40">
        <f>D233*(0.5*E233+0.5*F233)</f>
        <v>0.94500000000000006</v>
      </c>
      <c r="H233" s="41" t="s">
        <v>56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9.5" customHeight="1">
      <c r="A234" s="73"/>
      <c r="B234" s="90"/>
      <c r="C234" s="38">
        <v>2018</v>
      </c>
      <c r="D234" s="39">
        <v>1</v>
      </c>
      <c r="E234" s="39">
        <v>1</v>
      </c>
      <c r="F234" s="39">
        <v>0.92</v>
      </c>
      <c r="G234" s="40">
        <f>D234*(0.5*E234+0.5*F234)</f>
        <v>0.96</v>
      </c>
      <c r="H234" s="41" t="s">
        <v>56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9.5" customHeight="1">
      <c r="A235" s="73"/>
      <c r="B235" s="90"/>
      <c r="C235" s="38">
        <v>2019</v>
      </c>
      <c r="D235" s="39" t="s">
        <v>121</v>
      </c>
      <c r="E235" s="39">
        <v>1</v>
      </c>
      <c r="F235" s="39">
        <v>0.86899999999999999</v>
      </c>
      <c r="G235" s="40">
        <f>1*(0.5*E235+0.5*F235)</f>
        <v>0.9345</v>
      </c>
      <c r="H235" s="41" t="s">
        <v>122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9.5" customHeight="1">
      <c r="A236" s="74"/>
      <c r="B236" s="91"/>
      <c r="C236" s="38">
        <v>2020</v>
      </c>
      <c r="D236" s="39" t="s">
        <v>120</v>
      </c>
      <c r="E236" s="39">
        <v>1</v>
      </c>
      <c r="F236" s="39">
        <v>0.88900000000000001</v>
      </c>
      <c r="G236" s="40">
        <f>1*(0.5*E236+0.5*F236)</f>
        <v>0.94450000000000001</v>
      </c>
      <c r="H236" s="41" t="s">
        <v>122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s="139" customFormat="1" ht="15.75" customHeight="1">
      <c r="A237" s="130">
        <v>14</v>
      </c>
      <c r="B237" s="131" t="s">
        <v>109</v>
      </c>
      <c r="C237" s="151" t="s">
        <v>106</v>
      </c>
      <c r="D237" s="133"/>
      <c r="E237" s="134"/>
      <c r="F237" s="135">
        <f>(F238+F239+F240+F241)/4</f>
        <v>0.70850000000000002</v>
      </c>
      <c r="G237" s="136">
        <f>0.8*(G242+G247+G252)/3+0.2*F237</f>
        <v>0.85159727500000026</v>
      </c>
      <c r="H237" s="137" t="s">
        <v>55</v>
      </c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</row>
    <row r="238" spans="1:22" s="139" customFormat="1" ht="18.75" customHeight="1">
      <c r="A238" s="140"/>
      <c r="B238" s="141"/>
      <c r="C238" s="142">
        <v>2017</v>
      </c>
      <c r="D238" s="143"/>
      <c r="E238" s="144"/>
      <c r="F238" s="145">
        <v>1</v>
      </c>
      <c r="G238" s="146">
        <f t="shared" ref="G238:G239" si="26">0.8*(G243+G248+G253)/3+0.2*F238</f>
        <v>0.89040000000000008</v>
      </c>
      <c r="H238" s="147" t="s">
        <v>55</v>
      </c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</row>
    <row r="239" spans="1:22" s="139" customFormat="1" ht="18.75" customHeight="1">
      <c r="A239" s="140"/>
      <c r="B239" s="141"/>
      <c r="C239" s="142">
        <v>2018</v>
      </c>
      <c r="D239" s="143"/>
      <c r="E239" s="144"/>
      <c r="F239" s="145">
        <v>0.66700000000000004</v>
      </c>
      <c r="G239" s="146">
        <f t="shared" si="26"/>
        <v>0.83660000000000001</v>
      </c>
      <c r="H239" s="147" t="s">
        <v>55</v>
      </c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</row>
    <row r="240" spans="1:22" s="139" customFormat="1" ht="18.75" customHeight="1">
      <c r="A240" s="140"/>
      <c r="B240" s="141"/>
      <c r="C240" s="142">
        <v>2019</v>
      </c>
      <c r="D240" s="143"/>
      <c r="E240" s="144"/>
      <c r="F240" s="145">
        <v>0.66700000000000004</v>
      </c>
      <c r="G240" s="146">
        <f>0.8*(G245+G250+G255)/3+0.2*F240</f>
        <v>0.86412666666666671</v>
      </c>
      <c r="H240" s="147" t="s">
        <v>55</v>
      </c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</row>
    <row r="241" spans="1:22" s="139" customFormat="1" ht="18.75" customHeight="1">
      <c r="A241" s="148"/>
      <c r="B241" s="149"/>
      <c r="C241" s="142">
        <v>2020</v>
      </c>
      <c r="D241" s="143"/>
      <c r="E241" s="144"/>
      <c r="F241" s="145">
        <v>0.5</v>
      </c>
      <c r="G241" s="146">
        <f>0.8*(G246+G251+G256)/3+0.2*F241</f>
        <v>0.81268000000000007</v>
      </c>
      <c r="H241" s="147" t="s">
        <v>55</v>
      </c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</row>
    <row r="242" spans="1:22" ht="18.75" customHeight="1">
      <c r="A242" s="72" t="s">
        <v>123</v>
      </c>
      <c r="B242" s="89" t="s">
        <v>110</v>
      </c>
      <c r="C242" s="42" t="s">
        <v>106</v>
      </c>
      <c r="D242" s="43">
        <f>(D243+D244+D245+D246)/4</f>
        <v>0.98450000000000004</v>
      </c>
      <c r="E242" s="43">
        <f t="shared" ref="E242" si="27">(E243+E244+E245+E246)/4</f>
        <v>0.875</v>
      </c>
      <c r="F242" s="43">
        <f>(F243+F244+F245+F246)/4</f>
        <v>0.4975</v>
      </c>
      <c r="G242" s="44">
        <f>D242*(0.5*E242+0.5*F242)</f>
        <v>0.67561312500000004</v>
      </c>
      <c r="H242" s="47" t="s">
        <v>58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.75" customHeight="1">
      <c r="A243" s="73"/>
      <c r="B243" s="90"/>
      <c r="C243" s="38">
        <v>2017</v>
      </c>
      <c r="D243" s="39">
        <v>1</v>
      </c>
      <c r="E243" s="39">
        <v>0.75</v>
      </c>
      <c r="F243" s="39">
        <v>0.45</v>
      </c>
      <c r="G243" s="40">
        <f t="shared" ref="G243:G250" si="28">D243*(0.5*E243+0.5*F243)</f>
        <v>0.6</v>
      </c>
      <c r="H243" s="46" t="s">
        <v>58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.75" customHeight="1">
      <c r="A244" s="73"/>
      <c r="B244" s="90"/>
      <c r="C244" s="38">
        <v>2018</v>
      </c>
      <c r="D244" s="39">
        <v>1</v>
      </c>
      <c r="E244" s="39">
        <v>0.75</v>
      </c>
      <c r="F244" s="39">
        <v>0.54</v>
      </c>
      <c r="G244" s="40">
        <f t="shared" si="28"/>
        <v>0.64500000000000002</v>
      </c>
      <c r="H244" s="46" t="s">
        <v>115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.75" customHeight="1">
      <c r="A245" s="73"/>
      <c r="B245" s="90"/>
      <c r="C245" s="38">
        <v>2019</v>
      </c>
      <c r="D245" s="39">
        <v>0.96599999999999997</v>
      </c>
      <c r="E245" s="39">
        <v>1</v>
      </c>
      <c r="F245" s="39">
        <v>0.57499999999999996</v>
      </c>
      <c r="G245" s="40">
        <f t="shared" si="28"/>
        <v>0.76072499999999998</v>
      </c>
      <c r="H245" s="46" t="s">
        <v>55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>
      <c r="A246" s="74"/>
      <c r="B246" s="91"/>
      <c r="C246" s="38">
        <v>2020</v>
      </c>
      <c r="D246" s="39">
        <v>0.97199999999999998</v>
      </c>
      <c r="E246" s="39">
        <v>1</v>
      </c>
      <c r="F246" s="39">
        <v>0.42499999999999999</v>
      </c>
      <c r="G246" s="40">
        <f t="shared" si="28"/>
        <v>0.69255</v>
      </c>
      <c r="H246" s="46" t="s">
        <v>115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.75" customHeight="1">
      <c r="A247" s="72" t="s">
        <v>168</v>
      </c>
      <c r="B247" s="89" t="s">
        <v>111</v>
      </c>
      <c r="C247" s="42" t="s">
        <v>106</v>
      </c>
      <c r="D247" s="43">
        <f>(D248+1+D250+1)/4</f>
        <v>1</v>
      </c>
      <c r="E247" s="43">
        <f>(E248+E249+E250+E251)/4</f>
        <v>1</v>
      </c>
      <c r="F247" s="43">
        <f>(F248+F249+F250+F251)/4</f>
        <v>0.99975000000000003</v>
      </c>
      <c r="G247" s="44">
        <f>D247*(0.5*E247+0.5*F247)</f>
        <v>0.99987500000000007</v>
      </c>
      <c r="H247" s="47" t="s">
        <v>56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.75" customHeight="1">
      <c r="A248" s="73"/>
      <c r="B248" s="90"/>
      <c r="C248" s="38">
        <v>2017</v>
      </c>
      <c r="D248" s="39">
        <v>1</v>
      </c>
      <c r="E248" s="39">
        <v>1</v>
      </c>
      <c r="F248" s="39">
        <v>1</v>
      </c>
      <c r="G248" s="40">
        <f t="shared" si="28"/>
        <v>1</v>
      </c>
      <c r="H248" s="46" t="s">
        <v>56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.75" customHeight="1">
      <c r="A249" s="73"/>
      <c r="B249" s="90"/>
      <c r="C249" s="38">
        <v>2018</v>
      </c>
      <c r="D249" s="39" t="s">
        <v>50</v>
      </c>
      <c r="E249" s="39">
        <v>1</v>
      </c>
      <c r="F249" s="39">
        <v>1</v>
      </c>
      <c r="G249" s="40">
        <f>1*(0.5*E249+0.5*F249)</f>
        <v>1</v>
      </c>
      <c r="H249" s="46" t="s">
        <v>56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.75" customHeight="1">
      <c r="A250" s="73"/>
      <c r="B250" s="90"/>
      <c r="C250" s="38">
        <v>2019</v>
      </c>
      <c r="D250" s="39">
        <v>1</v>
      </c>
      <c r="E250" s="39">
        <v>1</v>
      </c>
      <c r="F250" s="39">
        <v>0.999</v>
      </c>
      <c r="G250" s="40">
        <f t="shared" si="28"/>
        <v>0.99950000000000006</v>
      </c>
      <c r="H250" s="46" t="s">
        <v>56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>
      <c r="A251" s="74"/>
      <c r="B251" s="91"/>
      <c r="C251" s="38">
        <v>2020</v>
      </c>
      <c r="D251" s="39" t="s">
        <v>50</v>
      </c>
      <c r="E251" s="39">
        <v>1</v>
      </c>
      <c r="F251" s="39">
        <v>1</v>
      </c>
      <c r="G251" s="40">
        <f>1*(0.5*E251+0.5*F251)</f>
        <v>1</v>
      </c>
      <c r="H251" s="46" t="s">
        <v>56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.75" customHeight="1">
      <c r="A252" s="72" t="s">
        <v>169</v>
      </c>
      <c r="B252" s="89" t="s">
        <v>112</v>
      </c>
      <c r="C252" s="42" t="s">
        <v>106</v>
      </c>
      <c r="D252" s="43">
        <f>(D253+D254+D255+D256)/4</f>
        <v>0.98675000000000002</v>
      </c>
      <c r="E252" s="43">
        <f t="shared" ref="E252" si="29">(E253+E254+E255+E256)/4</f>
        <v>1</v>
      </c>
      <c r="F252" s="43">
        <f>(F253+F254+F255+F256)/4</f>
        <v>0.99975000000000003</v>
      </c>
      <c r="G252" s="44">
        <f>D252*(0.5*E252+0.5*F252)</f>
        <v>0.98662665625000012</v>
      </c>
      <c r="H252" s="47" t="s">
        <v>56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.75" customHeight="1">
      <c r="A253" s="73"/>
      <c r="B253" s="90"/>
      <c r="C253" s="38">
        <v>2017</v>
      </c>
      <c r="D253" s="39">
        <v>0.98899999999999999</v>
      </c>
      <c r="E253" s="39">
        <v>1</v>
      </c>
      <c r="F253" s="39">
        <v>1</v>
      </c>
      <c r="G253" s="40">
        <f>D253*(0.5*E253+0.5*F253)</f>
        <v>0.98899999999999999</v>
      </c>
      <c r="H253" s="46" t="s">
        <v>56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.75" customHeight="1">
      <c r="A254" s="73"/>
      <c r="B254" s="90"/>
      <c r="C254" s="38">
        <v>2018</v>
      </c>
      <c r="D254" s="39">
        <v>0.99199999999999999</v>
      </c>
      <c r="E254" s="39">
        <v>1</v>
      </c>
      <c r="F254" s="39">
        <v>1</v>
      </c>
      <c r="G254" s="40">
        <f>D254*(0.5*E254+0.5*F254)</f>
        <v>0.99199999999999999</v>
      </c>
      <c r="H254" s="46" t="s">
        <v>56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.75" customHeight="1">
      <c r="A255" s="73"/>
      <c r="B255" s="90"/>
      <c r="C255" s="38">
        <v>2019</v>
      </c>
      <c r="D255" s="39">
        <v>0.98</v>
      </c>
      <c r="E255" s="39">
        <v>1</v>
      </c>
      <c r="F255" s="39">
        <v>1</v>
      </c>
      <c r="G255" s="40">
        <f>D255*(0.5*E255+0.5*F255)</f>
        <v>0.98</v>
      </c>
      <c r="H255" s="46" t="s">
        <v>56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>
      <c r="A256" s="74"/>
      <c r="B256" s="91"/>
      <c r="C256" s="38">
        <v>2020</v>
      </c>
      <c r="D256" s="39">
        <v>0.98599999999999999</v>
      </c>
      <c r="E256" s="39">
        <v>1</v>
      </c>
      <c r="F256" s="39">
        <v>0.999</v>
      </c>
      <c r="G256" s="40">
        <v>0.98</v>
      </c>
      <c r="H256" s="46" t="s">
        <v>56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s="139" customFormat="1" ht="18" customHeight="1">
      <c r="A257" s="130" t="s">
        <v>108</v>
      </c>
      <c r="B257" s="150" t="s">
        <v>98</v>
      </c>
      <c r="C257" s="151" t="s">
        <v>106</v>
      </c>
      <c r="D257" s="133"/>
      <c r="E257" s="134"/>
      <c r="F257" s="135">
        <f>(F258+F259+F260+F261)/4</f>
        <v>0.90300000000000002</v>
      </c>
      <c r="G257" s="136">
        <f>0.8*(G262+G267)/2+0.2*F257</f>
        <v>0.92568620000000001</v>
      </c>
      <c r="H257" s="137" t="s">
        <v>55</v>
      </c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</row>
    <row r="258" spans="1:22" s="139" customFormat="1" ht="18" customHeight="1">
      <c r="A258" s="152"/>
      <c r="B258" s="153"/>
      <c r="C258" s="142">
        <v>2017</v>
      </c>
      <c r="D258" s="143"/>
      <c r="E258" s="144"/>
      <c r="F258" s="145">
        <v>1</v>
      </c>
      <c r="G258" s="146">
        <f>0.8*(G263+G268)/2+0.2*F258</f>
        <v>0.96306580000000008</v>
      </c>
      <c r="H258" s="147" t="s">
        <v>56</v>
      </c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</row>
    <row r="259" spans="1:22" s="139" customFormat="1" ht="18" customHeight="1">
      <c r="A259" s="152"/>
      <c r="B259" s="153"/>
      <c r="C259" s="142">
        <v>2018</v>
      </c>
      <c r="D259" s="143"/>
      <c r="E259" s="144"/>
      <c r="F259" s="145">
        <v>0.66200000000000003</v>
      </c>
      <c r="G259" s="146">
        <f>0.8*(G264+G269)/2+0.2*F259</f>
        <v>0.87742560000000003</v>
      </c>
      <c r="H259" s="147" t="s">
        <v>55</v>
      </c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</row>
    <row r="260" spans="1:22" s="139" customFormat="1" ht="18" customHeight="1">
      <c r="A260" s="152"/>
      <c r="B260" s="153"/>
      <c r="C260" s="142">
        <v>2019</v>
      </c>
      <c r="D260" s="143"/>
      <c r="E260" s="144"/>
      <c r="F260" s="145">
        <v>0.95</v>
      </c>
      <c r="G260" s="146">
        <f>0.8*(G265+G270)/2+0.2*F260</f>
        <v>0.89482799999999996</v>
      </c>
      <c r="H260" s="147" t="s">
        <v>55</v>
      </c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</row>
    <row r="261" spans="1:22" s="139" customFormat="1" ht="20.25" customHeight="1">
      <c r="A261" s="154"/>
      <c r="B261" s="155"/>
      <c r="C261" s="142">
        <v>2020</v>
      </c>
      <c r="D261" s="143"/>
      <c r="E261" s="144"/>
      <c r="F261" s="145">
        <v>1</v>
      </c>
      <c r="G261" s="146">
        <f>0.8*(G266+G271)/2+0.2*F261</f>
        <v>0.96639999999999993</v>
      </c>
      <c r="H261" s="147" t="s">
        <v>55</v>
      </c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</row>
    <row r="262" spans="1:22" ht="17.25" customHeight="1">
      <c r="A262" s="72" t="s">
        <v>113</v>
      </c>
      <c r="B262" s="69" t="s">
        <v>99</v>
      </c>
      <c r="C262" s="42" t="s">
        <v>106</v>
      </c>
      <c r="D262" s="43">
        <f>(D263+D264+D265+D266)/4</f>
        <v>0.95799999999999996</v>
      </c>
      <c r="E262" s="43">
        <f>(E263+E264+E265+E266)/4</f>
        <v>0.90800000000000003</v>
      </c>
      <c r="F262" s="43">
        <f>(F263+F264+F265+F266)/4</f>
        <v>0.98650000000000004</v>
      </c>
      <c r="G262" s="44">
        <f>D262*(0.5*E262+0.5*F262)</f>
        <v>0.90746550000000004</v>
      </c>
      <c r="H262" s="45" t="s">
        <v>55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7.25" customHeight="1">
      <c r="A263" s="87"/>
      <c r="B263" s="88"/>
      <c r="C263" s="38">
        <v>2017</v>
      </c>
      <c r="D263" s="39">
        <v>0.96099999999999997</v>
      </c>
      <c r="E263" s="39">
        <v>0.88900000000000001</v>
      </c>
      <c r="F263" s="39">
        <v>1</v>
      </c>
      <c r="G263" s="40">
        <f t="shared" ref="G263:G271" si="30">D263*(0.5*E263+0.5*F263)</f>
        <v>0.90766449999999999</v>
      </c>
      <c r="H263" s="41" t="s">
        <v>55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7.25" customHeight="1">
      <c r="A264" s="87"/>
      <c r="B264" s="88"/>
      <c r="C264" s="38">
        <v>2018</v>
      </c>
      <c r="D264" s="39">
        <v>0.96699999999999997</v>
      </c>
      <c r="E264" s="39">
        <v>0.83299999999999996</v>
      </c>
      <c r="F264" s="39">
        <v>0.95099999999999996</v>
      </c>
      <c r="G264" s="40">
        <f t="shared" si="30"/>
        <v>0.86256399999999989</v>
      </c>
      <c r="H264" s="41" t="s">
        <v>55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7.25" customHeight="1">
      <c r="A265" s="87"/>
      <c r="B265" s="88"/>
      <c r="C265" s="38">
        <v>2019</v>
      </c>
      <c r="D265" s="39">
        <v>0.98799999999999999</v>
      </c>
      <c r="E265" s="39">
        <v>0.91</v>
      </c>
      <c r="F265" s="39">
        <v>0.995</v>
      </c>
      <c r="G265" s="40">
        <f t="shared" si="30"/>
        <v>0.94106999999999996</v>
      </c>
      <c r="H265" s="41" t="s">
        <v>55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7.25" customHeight="1">
      <c r="A266" s="74"/>
      <c r="B266" s="71"/>
      <c r="C266" s="38">
        <v>2020</v>
      </c>
      <c r="D266" s="39">
        <v>0.91600000000000004</v>
      </c>
      <c r="E266" s="39">
        <v>1</v>
      </c>
      <c r="F266" s="39">
        <v>1</v>
      </c>
      <c r="G266" s="40">
        <f t="shared" si="30"/>
        <v>0.91600000000000004</v>
      </c>
      <c r="H266" s="41" t="s">
        <v>55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>
      <c r="A267" s="72" t="s">
        <v>114</v>
      </c>
      <c r="B267" s="94" t="s">
        <v>100</v>
      </c>
      <c r="C267" s="42" t="s">
        <v>106</v>
      </c>
      <c r="D267" s="43">
        <f>(D268+D270+D269+D271)/4</f>
        <v>0.95524999999999993</v>
      </c>
      <c r="E267" s="43">
        <f>(E268+E270+E269+E271)/4</f>
        <v>1</v>
      </c>
      <c r="F267" s="43">
        <f>(F268+F269+F270+F271)/4</f>
        <v>1</v>
      </c>
      <c r="G267" s="44">
        <f>D267*(0.5*E267+0.5*F267)</f>
        <v>0.95524999999999993</v>
      </c>
      <c r="H267" s="45" t="s">
        <v>56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>
      <c r="A268" s="73"/>
      <c r="B268" s="85"/>
      <c r="C268" s="38">
        <v>2017</v>
      </c>
      <c r="D268" s="39">
        <v>1</v>
      </c>
      <c r="E268" s="39">
        <v>1</v>
      </c>
      <c r="F268" s="39">
        <v>1</v>
      </c>
      <c r="G268" s="40">
        <f t="shared" si="30"/>
        <v>1</v>
      </c>
      <c r="H268" s="41" t="s">
        <v>56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>
      <c r="A269" s="73"/>
      <c r="B269" s="85"/>
      <c r="C269" s="38">
        <v>2018</v>
      </c>
      <c r="D269" s="39">
        <v>1</v>
      </c>
      <c r="E269" s="39">
        <v>1</v>
      </c>
      <c r="F269" s="39">
        <v>1</v>
      </c>
      <c r="G269" s="40">
        <f t="shared" ref="G269" si="31">D269*(0.5*E269+0.5*F269)</f>
        <v>1</v>
      </c>
      <c r="H269" s="41" t="s">
        <v>56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>
      <c r="A270" s="73"/>
      <c r="B270" s="85"/>
      <c r="C270" s="38">
        <v>2019</v>
      </c>
      <c r="D270" s="39">
        <v>0.82099999999999995</v>
      </c>
      <c r="E270" s="39">
        <v>1</v>
      </c>
      <c r="F270" s="39">
        <v>1</v>
      </c>
      <c r="G270" s="40">
        <f t="shared" si="30"/>
        <v>0.82099999999999995</v>
      </c>
      <c r="H270" s="41" t="s">
        <v>55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>
      <c r="A271" s="74"/>
      <c r="B271" s="86"/>
      <c r="C271" s="38">
        <v>2020</v>
      </c>
      <c r="D271" s="39">
        <v>1</v>
      </c>
      <c r="E271" s="39">
        <v>1</v>
      </c>
      <c r="F271" s="39">
        <v>1</v>
      </c>
      <c r="G271" s="40">
        <f t="shared" si="30"/>
        <v>1</v>
      </c>
      <c r="H271" s="41" t="s">
        <v>56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s="139" customFormat="1" ht="30.75" customHeight="1">
      <c r="A272" s="130" t="s">
        <v>105</v>
      </c>
      <c r="B272" s="131" t="s">
        <v>170</v>
      </c>
      <c r="C272" s="151" t="s">
        <v>106</v>
      </c>
      <c r="D272" s="156"/>
      <c r="E272" s="157"/>
      <c r="F272" s="135">
        <f>(F273+F274+F275+F276)/4</f>
        <v>0.5442499999999999</v>
      </c>
      <c r="G272" s="136">
        <f>0.8*G277+0.2*F272</f>
        <v>0.57348399999999999</v>
      </c>
      <c r="H272" s="137" t="s">
        <v>58</v>
      </c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</row>
    <row r="273" spans="1:22" s="139" customFormat="1" ht="19.5" customHeight="1">
      <c r="A273" s="140"/>
      <c r="B273" s="141"/>
      <c r="C273" s="142">
        <v>2017</v>
      </c>
      <c r="D273" s="158"/>
      <c r="E273" s="159"/>
      <c r="F273" s="145">
        <v>0.71299999999999997</v>
      </c>
      <c r="G273" s="146">
        <f>0.8*G278+0.2*F273</f>
        <v>0.208424</v>
      </c>
      <c r="H273" s="147" t="s">
        <v>57</v>
      </c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</row>
    <row r="274" spans="1:22" s="139" customFormat="1" ht="19.5" customHeight="1">
      <c r="A274" s="140"/>
      <c r="B274" s="141"/>
      <c r="C274" s="142">
        <v>2018</v>
      </c>
      <c r="D274" s="158"/>
      <c r="E274" s="159"/>
      <c r="F274" s="145">
        <v>0.35699999999999998</v>
      </c>
      <c r="G274" s="146">
        <f>0.8*G279+0.2*F274</f>
        <v>0.57620000000000005</v>
      </c>
      <c r="H274" s="147" t="s">
        <v>58</v>
      </c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</row>
    <row r="275" spans="1:22" s="139" customFormat="1" ht="19.5" customHeight="1">
      <c r="A275" s="140"/>
      <c r="B275" s="141"/>
      <c r="C275" s="142">
        <v>2019</v>
      </c>
      <c r="D275" s="158"/>
      <c r="E275" s="159"/>
      <c r="F275" s="145">
        <v>0.75</v>
      </c>
      <c r="G275" s="146">
        <f>0.8*G280+0.2*F275+0.01</f>
        <v>0.78</v>
      </c>
      <c r="H275" s="147" t="s">
        <v>55</v>
      </c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</row>
    <row r="276" spans="1:22" s="139" customFormat="1" ht="19.5" customHeight="1">
      <c r="A276" s="148"/>
      <c r="B276" s="149"/>
      <c r="C276" s="142">
        <v>2020</v>
      </c>
      <c r="D276" s="158"/>
      <c r="E276" s="159"/>
      <c r="F276" s="145">
        <v>0.35699999999999998</v>
      </c>
      <c r="G276" s="146">
        <f>0.8*G281+0.2*F276</f>
        <v>0.73060000000000003</v>
      </c>
      <c r="H276" s="147" t="s">
        <v>55</v>
      </c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</row>
    <row r="277" spans="1:22" ht="19.5" customHeight="1">
      <c r="A277" s="72" t="s">
        <v>107</v>
      </c>
      <c r="B277" s="97" t="s">
        <v>171</v>
      </c>
      <c r="C277" s="42" t="s">
        <v>106</v>
      </c>
      <c r="D277" s="43">
        <f>(0.11+3)/4</f>
        <v>0.77749999999999997</v>
      </c>
      <c r="E277" s="43">
        <f>(E278+E279+E280+E281)/4</f>
        <v>0.70825000000000005</v>
      </c>
      <c r="F277" s="43">
        <f>(F278+F279+F280+F281)/4</f>
        <v>0.78574999999999995</v>
      </c>
      <c r="G277" s="44">
        <f>D277*(0.5*E277+0.5*F277)</f>
        <v>0.58079249999999993</v>
      </c>
      <c r="H277" s="45" t="s">
        <v>58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9.5" customHeight="1">
      <c r="A278" s="73"/>
      <c r="B278" s="90"/>
      <c r="C278" s="38">
        <v>2017</v>
      </c>
      <c r="D278" s="39">
        <v>0.11</v>
      </c>
      <c r="E278" s="39">
        <v>0.75</v>
      </c>
      <c r="F278" s="39">
        <v>0.746</v>
      </c>
      <c r="G278" s="40">
        <f t="shared" ref="G278" si="32">D278*(0.5*E278+0.5*F278)</f>
        <v>8.2280000000000006E-2</v>
      </c>
      <c r="H278" s="41" t="s">
        <v>57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9.5" customHeight="1">
      <c r="A279" s="73"/>
      <c r="B279" s="90"/>
      <c r="C279" s="38">
        <v>2018</v>
      </c>
      <c r="D279" s="39" t="s">
        <v>50</v>
      </c>
      <c r="E279" s="39">
        <v>0.5</v>
      </c>
      <c r="F279" s="39">
        <v>0.76200000000000001</v>
      </c>
      <c r="G279" s="40">
        <f>1*(0.5*E279+0.5*F279)</f>
        <v>0.63100000000000001</v>
      </c>
      <c r="H279" s="41" t="s">
        <v>58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9.5" customHeight="1">
      <c r="A280" s="73"/>
      <c r="B280" s="90"/>
      <c r="C280" s="38">
        <v>2019</v>
      </c>
      <c r="D280" s="39" t="s">
        <v>50</v>
      </c>
      <c r="E280" s="39">
        <v>0.75</v>
      </c>
      <c r="F280" s="39">
        <v>0.82</v>
      </c>
      <c r="G280" s="40">
        <f>1*(0.5*E280+0.5*F280)-0.01</f>
        <v>0.77499999999999991</v>
      </c>
      <c r="H280" s="41" t="s">
        <v>55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9.5" customHeight="1">
      <c r="A281" s="74"/>
      <c r="B281" s="91"/>
      <c r="C281" s="38">
        <v>2020</v>
      </c>
      <c r="D281" s="39" t="s">
        <v>50</v>
      </c>
      <c r="E281" s="39">
        <v>0.83299999999999996</v>
      </c>
      <c r="F281" s="39">
        <v>0.81499999999999995</v>
      </c>
      <c r="G281" s="40">
        <f>1*(0.5*E281+0.5*F281)</f>
        <v>0.82399999999999995</v>
      </c>
      <c r="H281" s="41" t="s">
        <v>55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s="139" customFormat="1" ht="18" customHeight="1">
      <c r="A282" s="130" t="s">
        <v>172</v>
      </c>
      <c r="B282" s="150" t="s">
        <v>175</v>
      </c>
      <c r="C282" s="151" t="s">
        <v>106</v>
      </c>
      <c r="D282" s="133"/>
      <c r="E282" s="134"/>
      <c r="F282" s="135">
        <f>(F283+F284+F285+F286)/4</f>
        <v>0.625</v>
      </c>
      <c r="G282" s="136">
        <f>0.8*(G287+G292)/2+0.2*F282</f>
        <v>0.72551212500000006</v>
      </c>
      <c r="H282" s="137" t="s">
        <v>55</v>
      </c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</row>
    <row r="283" spans="1:22" s="139" customFormat="1" ht="18" customHeight="1">
      <c r="A283" s="152"/>
      <c r="B283" s="153"/>
      <c r="C283" s="142">
        <v>2017</v>
      </c>
      <c r="D283" s="143"/>
      <c r="E283" s="144"/>
      <c r="F283" s="145">
        <v>1</v>
      </c>
      <c r="G283" s="146">
        <f>0.8*(G288+G293)/2+0.2*F283</f>
        <v>0.83782000000000001</v>
      </c>
      <c r="H283" s="147" t="s">
        <v>55</v>
      </c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</row>
    <row r="284" spans="1:22" s="139" customFormat="1" ht="18" customHeight="1">
      <c r="A284" s="152"/>
      <c r="B284" s="153"/>
      <c r="C284" s="142">
        <v>2018</v>
      </c>
      <c r="D284" s="143"/>
      <c r="E284" s="144"/>
      <c r="F284" s="145">
        <v>0.5</v>
      </c>
      <c r="G284" s="146">
        <f>0.8*(G289+G294)/2+0.2*F284</f>
        <v>0.75514860000000006</v>
      </c>
      <c r="H284" s="147" t="s">
        <v>55</v>
      </c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</row>
    <row r="285" spans="1:22" s="139" customFormat="1" ht="18" customHeight="1">
      <c r="A285" s="152"/>
      <c r="B285" s="153"/>
      <c r="C285" s="142">
        <v>2019</v>
      </c>
      <c r="D285" s="143"/>
      <c r="E285" s="144"/>
      <c r="F285" s="145">
        <v>0.5</v>
      </c>
      <c r="G285" s="146">
        <f>0.8*(G290+G295)/2+0.2*F285</f>
        <v>0.70934400000000009</v>
      </c>
      <c r="H285" s="147" t="s">
        <v>55</v>
      </c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</row>
    <row r="286" spans="1:22" s="139" customFormat="1" ht="20.25" customHeight="1">
      <c r="A286" s="154"/>
      <c r="B286" s="155"/>
      <c r="C286" s="142">
        <v>2020</v>
      </c>
      <c r="D286" s="143"/>
      <c r="E286" s="144"/>
      <c r="F286" s="145">
        <v>0.5</v>
      </c>
      <c r="G286" s="146">
        <f>0.8*(G291+G296)/2+0.2*F286</f>
        <v>0.62300920000000004</v>
      </c>
      <c r="H286" s="147" t="s">
        <v>58</v>
      </c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</row>
    <row r="287" spans="1:22" ht="17.25" customHeight="1">
      <c r="A287" s="72" t="s">
        <v>173</v>
      </c>
      <c r="B287" s="69" t="s">
        <v>176</v>
      </c>
      <c r="C287" s="42" t="s">
        <v>106</v>
      </c>
      <c r="D287" s="43">
        <f>(D288+0.986+D290+D291)/4</f>
        <v>0.92849999999999999</v>
      </c>
      <c r="E287" s="43">
        <f>(E288+E289+E290+E291)/4</f>
        <v>0.53949999999999998</v>
      </c>
      <c r="F287" s="43">
        <f>(F288+F289+F290+F291)/4</f>
        <v>0.78949999999999998</v>
      </c>
      <c r="G287" s="44">
        <f>D287*(0.5*E287+0.5*F287)</f>
        <v>0.61698825000000002</v>
      </c>
      <c r="H287" s="45" t="s">
        <v>55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7.25" customHeight="1">
      <c r="A288" s="87"/>
      <c r="B288" s="88"/>
      <c r="C288" s="38">
        <v>2017</v>
      </c>
      <c r="D288" s="39">
        <v>0.9</v>
      </c>
      <c r="E288" s="39">
        <v>0.625</v>
      </c>
      <c r="F288" s="39">
        <v>0.71399999999999997</v>
      </c>
      <c r="G288" s="40">
        <f t="shared" ref="G288:G291" si="33">D288*(0.5*E288+0.5*F288)</f>
        <v>0.60255000000000003</v>
      </c>
      <c r="H288" s="41" t="s">
        <v>58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7.25" customHeight="1">
      <c r="A289" s="87"/>
      <c r="B289" s="88"/>
      <c r="C289" s="38">
        <v>2018</v>
      </c>
      <c r="D289" s="39" t="s">
        <v>178</v>
      </c>
      <c r="E289" s="39">
        <v>0.66700000000000004</v>
      </c>
      <c r="F289" s="39">
        <v>0.77500000000000002</v>
      </c>
      <c r="G289" s="40">
        <f>0.986*(0.5*E289+0.5*F289)</f>
        <v>0.71090600000000004</v>
      </c>
      <c r="H289" s="41" t="s">
        <v>122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7.25" customHeight="1">
      <c r="A290" s="87"/>
      <c r="B290" s="88"/>
      <c r="C290" s="38">
        <v>2019</v>
      </c>
      <c r="D290" s="39">
        <v>0.90400000000000003</v>
      </c>
      <c r="E290" s="39">
        <v>0.55000000000000004</v>
      </c>
      <c r="F290" s="39">
        <v>0.875</v>
      </c>
      <c r="G290" s="40">
        <v>0.7</v>
      </c>
      <c r="H290" s="41" t="s">
        <v>55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7.25" customHeight="1">
      <c r="A291" s="74"/>
      <c r="B291" s="71"/>
      <c r="C291" s="38">
        <v>2020</v>
      </c>
      <c r="D291" s="39">
        <v>0.92400000000000004</v>
      </c>
      <c r="E291" s="39">
        <v>0.316</v>
      </c>
      <c r="F291" s="39">
        <v>0.79400000000000004</v>
      </c>
      <c r="G291" s="40">
        <f t="shared" si="33"/>
        <v>0.51282000000000005</v>
      </c>
      <c r="H291" s="41" t="s">
        <v>58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>
      <c r="A292" s="72" t="s">
        <v>174</v>
      </c>
      <c r="B292" s="94" t="s">
        <v>177</v>
      </c>
      <c r="C292" s="42" t="s">
        <v>106</v>
      </c>
      <c r="D292" s="43">
        <f>(D293+0.993+0.992+0.994)/4</f>
        <v>0.99275000000000002</v>
      </c>
      <c r="E292" s="43">
        <f>(E293+E295+E294+E296)/4</f>
        <v>0.92499999999999993</v>
      </c>
      <c r="F292" s="43">
        <f>(F293+F294+F295+F296)/4</f>
        <v>0.85650000000000004</v>
      </c>
      <c r="G292" s="44">
        <f>D292*(0.5*E292+0.5*F292)</f>
        <v>0.88429206249999992</v>
      </c>
      <c r="H292" s="45" t="s">
        <v>55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>
      <c r="A293" s="73"/>
      <c r="B293" s="85"/>
      <c r="C293" s="38">
        <v>2017</v>
      </c>
      <c r="D293" s="39">
        <v>0.99199999999999999</v>
      </c>
      <c r="E293" s="39">
        <v>1</v>
      </c>
      <c r="F293" s="39">
        <v>1</v>
      </c>
      <c r="G293" s="40">
        <f t="shared" ref="G293" si="34">D293*(0.5*E293+0.5*F293)</f>
        <v>0.99199999999999999</v>
      </c>
      <c r="H293" s="41" t="s">
        <v>56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>
      <c r="A294" s="73"/>
      <c r="B294" s="85"/>
      <c r="C294" s="38">
        <v>2018</v>
      </c>
      <c r="D294" s="39" t="s">
        <v>179</v>
      </c>
      <c r="E294" s="39">
        <v>0.9</v>
      </c>
      <c r="F294" s="39">
        <v>0.96699999999999997</v>
      </c>
      <c r="G294" s="40">
        <f>0.993*(0.5*E294+0.5*F294)</f>
        <v>0.9269655</v>
      </c>
      <c r="H294" s="41" t="s">
        <v>122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>
      <c r="A295" s="73"/>
      <c r="B295" s="85"/>
      <c r="C295" s="38">
        <v>2019</v>
      </c>
      <c r="D295" s="39" t="s">
        <v>180</v>
      </c>
      <c r="E295" s="39">
        <v>0.9</v>
      </c>
      <c r="F295" s="39">
        <v>0.76</v>
      </c>
      <c r="G295" s="40">
        <f>0.992*(0.5*E295+0.5*F295)</f>
        <v>0.82336000000000009</v>
      </c>
      <c r="H295" s="41" t="s">
        <v>122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>
      <c r="A296" s="74"/>
      <c r="B296" s="86"/>
      <c r="C296" s="38">
        <v>2020</v>
      </c>
      <c r="D296" s="39" t="s">
        <v>181</v>
      </c>
      <c r="E296" s="39">
        <v>0.9</v>
      </c>
      <c r="F296" s="39">
        <v>0.69899999999999995</v>
      </c>
      <c r="G296" s="40">
        <f>0.994*(0.5*E296+0.5*F296)</f>
        <v>0.79470299999999994</v>
      </c>
      <c r="H296" s="41" t="s">
        <v>122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s="139" customFormat="1" ht="15.75">
      <c r="A297" s="130" t="s">
        <v>182</v>
      </c>
      <c r="B297" s="131" t="s">
        <v>116</v>
      </c>
      <c r="C297" s="132" t="s">
        <v>106</v>
      </c>
      <c r="D297" s="133"/>
      <c r="E297" s="134"/>
      <c r="F297" s="135">
        <v>1</v>
      </c>
      <c r="G297" s="136">
        <f>0.8*G302+0.2*F297</f>
        <v>0.9890000000000001</v>
      </c>
      <c r="H297" s="137" t="s">
        <v>56</v>
      </c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</row>
    <row r="298" spans="1:22" s="139" customFormat="1">
      <c r="A298" s="140"/>
      <c r="B298" s="141"/>
      <c r="C298" s="142">
        <v>2017</v>
      </c>
      <c r="D298" s="143"/>
      <c r="E298" s="144"/>
      <c r="F298" s="145">
        <v>1</v>
      </c>
      <c r="G298" s="146">
        <f>0.8*(G303)/1+0.2*F298</f>
        <v>1</v>
      </c>
      <c r="H298" s="147" t="s">
        <v>56</v>
      </c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</row>
    <row r="299" spans="1:22" s="139" customFormat="1">
      <c r="A299" s="140"/>
      <c r="B299" s="141"/>
      <c r="C299" s="142">
        <v>2018</v>
      </c>
      <c r="D299" s="143"/>
      <c r="E299" s="144"/>
      <c r="F299" s="145">
        <v>1</v>
      </c>
      <c r="G299" s="146">
        <f t="shared" ref="G299:G301" si="35">0.8*(G304)/1+0.2*F299</f>
        <v>0.95600000000000018</v>
      </c>
      <c r="H299" s="147" t="s">
        <v>56</v>
      </c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</row>
    <row r="300" spans="1:22" s="139" customFormat="1">
      <c r="A300" s="140"/>
      <c r="B300" s="141"/>
      <c r="C300" s="142">
        <v>2019</v>
      </c>
      <c r="D300" s="143"/>
      <c r="E300" s="144"/>
      <c r="F300" s="145">
        <v>1</v>
      </c>
      <c r="G300" s="146">
        <f t="shared" si="35"/>
        <v>1</v>
      </c>
      <c r="H300" s="147" t="s">
        <v>56</v>
      </c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</row>
    <row r="301" spans="1:22" s="139" customFormat="1" ht="19.5" customHeight="1">
      <c r="A301" s="148"/>
      <c r="B301" s="149"/>
      <c r="C301" s="142">
        <v>2020</v>
      </c>
      <c r="D301" s="143"/>
      <c r="E301" s="144"/>
      <c r="F301" s="145">
        <v>1</v>
      </c>
      <c r="G301" s="146">
        <f t="shared" si="35"/>
        <v>1</v>
      </c>
      <c r="H301" s="147" t="s">
        <v>56</v>
      </c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</row>
    <row r="302" spans="1:22">
      <c r="A302" s="72" t="s">
        <v>183</v>
      </c>
      <c r="B302" s="105" t="s">
        <v>117</v>
      </c>
      <c r="C302" s="55" t="s">
        <v>106</v>
      </c>
      <c r="D302" s="58">
        <f>(1+D304+D305+D306)/4</f>
        <v>1</v>
      </c>
      <c r="E302" s="58">
        <f>(E303+E304+E305+E306)/4</f>
        <v>0.97250000000000003</v>
      </c>
      <c r="F302" s="58">
        <f>(F303+F304+F305+F306)/4</f>
        <v>1</v>
      </c>
      <c r="G302" s="59">
        <f>D302*(0.5*E302+0.5*F302)</f>
        <v>0.98625000000000007</v>
      </c>
      <c r="H302" s="60" t="s">
        <v>56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>
      <c r="A303" s="73"/>
      <c r="B303" s="106"/>
      <c r="C303" s="56">
        <v>2017</v>
      </c>
      <c r="D303" s="57" t="s">
        <v>118</v>
      </c>
      <c r="E303" s="57">
        <v>1</v>
      </c>
      <c r="F303" s="57">
        <v>1</v>
      </c>
      <c r="G303" s="54">
        <f>1*(0.5*E303+0.5*F303)</f>
        <v>1</v>
      </c>
      <c r="H303" s="61" t="s">
        <v>119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>
      <c r="A304" s="73"/>
      <c r="B304" s="106"/>
      <c r="C304" s="56">
        <v>2018</v>
      </c>
      <c r="D304" s="57">
        <v>1</v>
      </c>
      <c r="E304" s="57">
        <v>0.89</v>
      </c>
      <c r="F304" s="57">
        <v>1</v>
      </c>
      <c r="G304" s="54">
        <f>D304*(0.5*E304+0.5*F304)</f>
        <v>0.94500000000000006</v>
      </c>
      <c r="H304" s="61" t="s">
        <v>56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>
      <c r="A305" s="73"/>
      <c r="B305" s="106"/>
      <c r="C305" s="56">
        <v>2019</v>
      </c>
      <c r="D305" s="57">
        <v>1</v>
      </c>
      <c r="E305" s="57">
        <v>1</v>
      </c>
      <c r="F305" s="57">
        <v>1</v>
      </c>
      <c r="G305" s="54">
        <f>D305*(0.5*E305+0.5*F305)</f>
        <v>1</v>
      </c>
      <c r="H305" s="61" t="s">
        <v>56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>
      <c r="A306" s="74"/>
      <c r="B306" s="107"/>
      <c r="C306" s="56">
        <v>2020</v>
      </c>
      <c r="D306" s="57">
        <v>1</v>
      </c>
      <c r="E306" s="57">
        <v>1</v>
      </c>
      <c r="F306" s="57">
        <v>1</v>
      </c>
      <c r="G306" s="54">
        <f t="shared" ref="G306" si="36">D306*(0.5*E306+0.5*F306)</f>
        <v>1</v>
      </c>
      <c r="H306" s="61" t="s">
        <v>56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>
      <c r="A307" s="48"/>
      <c r="B307" s="49"/>
      <c r="C307" s="50"/>
      <c r="D307" s="51"/>
      <c r="E307" s="51"/>
      <c r="F307" s="51"/>
      <c r="G307" s="52"/>
      <c r="H307" s="5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>
      <c r="A308" s="48"/>
      <c r="B308" s="49"/>
      <c r="C308" s="50"/>
      <c r="D308" s="51"/>
      <c r="E308" s="51"/>
      <c r="F308" s="51"/>
      <c r="G308" s="52"/>
      <c r="H308" s="5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>
      <c r="A309" s="48"/>
      <c r="B309" s="49"/>
      <c r="C309" s="50"/>
      <c r="D309" s="51"/>
      <c r="E309" s="51"/>
      <c r="F309" s="51"/>
      <c r="G309" s="52"/>
      <c r="H309" s="5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>
      <c r="A310" s="48"/>
      <c r="B310" s="49"/>
      <c r="C310" s="50"/>
      <c r="D310" s="51"/>
      <c r="E310" s="51"/>
      <c r="F310" s="51"/>
      <c r="G310" s="52"/>
      <c r="H310" s="5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>
      <c r="A311" s="48"/>
      <c r="B311" s="49"/>
      <c r="C311" s="50"/>
      <c r="D311" s="51"/>
      <c r="E311" s="51"/>
      <c r="F311" s="51"/>
      <c r="G311" s="52"/>
      <c r="H311" s="5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>
      <c r="A312" s="48"/>
      <c r="B312" s="49"/>
      <c r="C312" s="50"/>
      <c r="D312" s="51"/>
      <c r="E312" s="51"/>
      <c r="F312" s="51"/>
      <c r="G312" s="52"/>
      <c r="H312" s="5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>
      <c r="A313" s="48"/>
      <c r="B313" s="49"/>
      <c r="C313" s="50"/>
      <c r="D313" s="51"/>
      <c r="E313" s="51"/>
      <c r="F313" s="51"/>
      <c r="G313" s="52"/>
      <c r="H313" s="5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>
      <c r="A314" s="48"/>
      <c r="B314" s="49"/>
      <c r="C314" s="50"/>
      <c r="D314" s="51"/>
      <c r="E314" s="51"/>
      <c r="F314" s="51"/>
      <c r="G314" s="52"/>
      <c r="H314" s="5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>
      <c r="A315" s="48"/>
      <c r="B315" s="49"/>
      <c r="C315" s="50"/>
      <c r="D315" s="51"/>
      <c r="E315" s="51"/>
      <c r="F315" s="51"/>
      <c r="G315" s="52"/>
      <c r="H315" s="5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>
      <c r="A316" s="48"/>
      <c r="B316" s="49"/>
      <c r="C316" s="50"/>
      <c r="D316" s="51"/>
      <c r="E316" s="51"/>
      <c r="F316" s="51"/>
      <c r="G316" s="52"/>
      <c r="H316" s="5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>
      <c r="A317" s="48"/>
      <c r="B317" s="49"/>
      <c r="C317" s="50"/>
      <c r="D317" s="51"/>
      <c r="E317" s="51"/>
      <c r="F317" s="51"/>
      <c r="G317" s="52"/>
      <c r="H317" s="5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>
      <c r="A318" s="48"/>
      <c r="B318" s="49"/>
      <c r="C318" s="50"/>
      <c r="D318" s="51"/>
      <c r="E318" s="51"/>
      <c r="F318" s="51"/>
      <c r="G318" s="52"/>
      <c r="H318" s="5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>
      <c r="A319" s="48"/>
      <c r="B319" s="49"/>
      <c r="C319" s="50"/>
      <c r="D319" s="51"/>
      <c r="E319" s="51"/>
      <c r="F319" s="51"/>
      <c r="G319" s="52"/>
      <c r="H319" s="5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>
      <c r="A320" s="48"/>
      <c r="B320" s="49"/>
      <c r="C320" s="50"/>
      <c r="D320" s="51"/>
      <c r="E320" s="51"/>
      <c r="F320" s="51"/>
      <c r="G320" s="52"/>
      <c r="H320" s="5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>
      <c r="A321" s="48"/>
      <c r="B321" s="49"/>
      <c r="C321" s="50"/>
      <c r="D321" s="51"/>
      <c r="E321" s="51"/>
      <c r="F321" s="51"/>
      <c r="G321" s="52"/>
      <c r="H321" s="5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>
      <c r="A322" s="48"/>
      <c r="B322" s="49"/>
      <c r="C322" s="50"/>
      <c r="D322" s="51"/>
      <c r="E322" s="51"/>
      <c r="F322" s="51"/>
      <c r="G322" s="52"/>
      <c r="H322" s="5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>
      <c r="A323" s="48"/>
      <c r="B323" s="49"/>
      <c r="C323" s="50"/>
      <c r="D323" s="51"/>
      <c r="E323" s="51"/>
      <c r="F323" s="51"/>
      <c r="G323" s="52"/>
      <c r="H323" s="5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>
      <c r="A324" s="48"/>
      <c r="B324" s="49"/>
      <c r="C324" s="50"/>
      <c r="D324" s="51"/>
      <c r="E324" s="51"/>
      <c r="F324" s="51"/>
      <c r="G324" s="52"/>
      <c r="H324" s="5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>
      <c r="A325" s="48"/>
      <c r="B325" s="49"/>
      <c r="C325" s="50"/>
      <c r="D325" s="51"/>
      <c r="E325" s="51"/>
      <c r="F325" s="51"/>
      <c r="G325" s="52"/>
      <c r="H325" s="5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>
      <c r="A326" s="48"/>
      <c r="B326" s="49"/>
      <c r="C326" s="50"/>
      <c r="D326" s="51"/>
      <c r="E326" s="51"/>
      <c r="F326" s="51"/>
      <c r="G326" s="52"/>
      <c r="H326" s="5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>
      <c r="A327" s="48"/>
      <c r="B327" s="49"/>
      <c r="C327" s="50"/>
      <c r="D327" s="51"/>
      <c r="E327" s="51"/>
      <c r="F327" s="51"/>
      <c r="G327" s="52"/>
      <c r="H327" s="5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>
      <c r="A328" s="48"/>
      <c r="B328" s="49"/>
      <c r="C328" s="50"/>
      <c r="D328" s="51"/>
      <c r="E328" s="51"/>
      <c r="F328" s="51"/>
      <c r="G328" s="52"/>
      <c r="H328" s="5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>
      <c r="A329" s="48"/>
      <c r="B329" s="49"/>
      <c r="C329" s="50"/>
      <c r="D329" s="51"/>
      <c r="E329" s="51"/>
      <c r="F329" s="51"/>
      <c r="G329" s="52"/>
      <c r="H329" s="5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>
      <c r="A330" s="48"/>
      <c r="B330" s="49"/>
      <c r="C330" s="50"/>
      <c r="D330" s="51"/>
      <c r="E330" s="51"/>
      <c r="F330" s="51"/>
      <c r="G330" s="52"/>
      <c r="H330" s="5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>
      <c r="A331" s="48"/>
      <c r="B331" s="49"/>
      <c r="C331" s="50"/>
      <c r="D331" s="51"/>
      <c r="E331" s="51"/>
      <c r="F331" s="51"/>
      <c r="G331" s="52"/>
      <c r="H331" s="5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>
      <c r="A332" s="48"/>
      <c r="B332" s="49"/>
      <c r="C332" s="50"/>
      <c r="D332" s="51"/>
      <c r="E332" s="51"/>
      <c r="F332" s="51"/>
      <c r="G332" s="52"/>
      <c r="H332" s="5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>
      <c r="A333" s="48"/>
      <c r="B333" s="49"/>
      <c r="C333" s="50"/>
      <c r="D333" s="51"/>
      <c r="E333" s="51"/>
      <c r="F333" s="51"/>
      <c r="G333" s="52"/>
      <c r="H333" s="5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>
      <c r="A334" s="48"/>
      <c r="B334" s="49"/>
      <c r="C334" s="50"/>
      <c r="D334" s="51"/>
      <c r="E334" s="51"/>
      <c r="F334" s="51"/>
      <c r="G334" s="52"/>
      <c r="H334" s="5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>
      <c r="A335" s="48"/>
      <c r="B335" s="49"/>
      <c r="C335" s="50"/>
      <c r="D335" s="51"/>
      <c r="E335" s="51"/>
      <c r="F335" s="51"/>
      <c r="G335" s="52"/>
      <c r="H335" s="5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>
      <c r="A336" s="48"/>
      <c r="B336" s="49"/>
      <c r="C336" s="50"/>
      <c r="D336" s="51"/>
      <c r="E336" s="51"/>
      <c r="F336" s="51"/>
      <c r="G336" s="52"/>
      <c r="H336" s="5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>
      <c r="A337" s="48"/>
      <c r="B337" s="49"/>
      <c r="C337" s="50"/>
      <c r="D337" s="51"/>
      <c r="E337" s="51"/>
      <c r="F337" s="51"/>
      <c r="G337" s="52"/>
      <c r="H337" s="5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>
      <c r="A338" s="48"/>
      <c r="B338" s="49"/>
      <c r="C338" s="50"/>
      <c r="D338" s="51"/>
      <c r="E338" s="51"/>
      <c r="F338" s="51"/>
      <c r="G338" s="52"/>
      <c r="H338" s="5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>
      <c r="A339" s="48"/>
      <c r="B339" s="49"/>
      <c r="C339" s="50"/>
      <c r="D339" s="51"/>
      <c r="E339" s="51"/>
      <c r="F339" s="51"/>
      <c r="G339" s="52"/>
      <c r="H339" s="5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>
      <c r="A340" s="48"/>
      <c r="B340" s="49"/>
      <c r="C340" s="50"/>
      <c r="D340" s="51"/>
      <c r="E340" s="51"/>
      <c r="F340" s="51"/>
      <c r="G340" s="52"/>
      <c r="H340" s="5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>
      <c r="A341" s="48"/>
      <c r="B341" s="49"/>
      <c r="C341" s="50"/>
      <c r="D341" s="51"/>
      <c r="E341" s="51"/>
      <c r="F341" s="51"/>
      <c r="G341" s="52"/>
      <c r="H341" s="5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>
      <c r="A342" s="48"/>
      <c r="B342" s="49"/>
      <c r="C342" s="50"/>
      <c r="D342" s="51"/>
      <c r="E342" s="51"/>
      <c r="F342" s="51"/>
      <c r="G342" s="52"/>
      <c r="H342" s="5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>
      <c r="A343" s="48"/>
      <c r="B343" s="49"/>
      <c r="C343" s="50"/>
      <c r="D343" s="51"/>
      <c r="E343" s="51"/>
      <c r="F343" s="51"/>
      <c r="G343" s="52"/>
      <c r="H343" s="5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>
      <c r="A344" s="48"/>
      <c r="B344" s="49"/>
      <c r="C344" s="50"/>
      <c r="D344" s="51"/>
      <c r="E344" s="51"/>
      <c r="F344" s="51"/>
      <c r="G344" s="52"/>
      <c r="H344" s="5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>
      <c r="A345" s="48"/>
      <c r="B345" s="49"/>
      <c r="C345" s="50"/>
      <c r="D345" s="51"/>
      <c r="E345" s="51"/>
      <c r="F345" s="51"/>
      <c r="G345" s="52"/>
      <c r="H345" s="5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>
      <c r="A346" s="48"/>
      <c r="B346" s="49"/>
      <c r="C346" s="50"/>
      <c r="D346" s="51"/>
      <c r="E346" s="51"/>
      <c r="F346" s="51"/>
      <c r="G346" s="52"/>
      <c r="H346" s="5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>
      <c r="A347" s="48"/>
      <c r="B347" s="49"/>
      <c r="C347" s="50"/>
      <c r="D347" s="51"/>
      <c r="E347" s="51"/>
      <c r="F347" s="51"/>
      <c r="G347" s="52"/>
      <c r="H347" s="5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>
      <c r="A348" s="48"/>
      <c r="B348" s="49"/>
      <c r="C348" s="50"/>
      <c r="D348" s="51"/>
      <c r="E348" s="51"/>
      <c r="F348" s="51"/>
      <c r="G348" s="52"/>
      <c r="H348" s="5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>
      <c r="A349" s="48"/>
      <c r="B349" s="49"/>
      <c r="C349" s="50"/>
      <c r="D349" s="51"/>
      <c r="E349" s="51"/>
      <c r="F349" s="51"/>
      <c r="G349" s="52"/>
      <c r="H349" s="5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>
      <c r="A350" s="48"/>
      <c r="B350" s="49"/>
      <c r="C350" s="50"/>
      <c r="D350" s="51"/>
      <c r="E350" s="51"/>
      <c r="F350" s="51"/>
      <c r="G350" s="52"/>
      <c r="H350" s="5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>
      <c r="A351" s="48"/>
      <c r="B351" s="49"/>
      <c r="C351" s="50"/>
      <c r="D351" s="51"/>
      <c r="E351" s="51"/>
      <c r="F351" s="51"/>
      <c r="G351" s="52"/>
      <c r="H351" s="5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>
      <c r="A352" s="48"/>
      <c r="B352" s="49"/>
      <c r="C352" s="50"/>
      <c r="D352" s="51"/>
      <c r="E352" s="51"/>
      <c r="F352" s="51"/>
      <c r="G352" s="52"/>
      <c r="H352" s="5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>
      <c r="A353" s="48"/>
      <c r="B353" s="49"/>
      <c r="C353" s="50"/>
      <c r="D353" s="51"/>
      <c r="E353" s="51"/>
      <c r="F353" s="51"/>
      <c r="G353" s="52"/>
      <c r="H353" s="5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>
      <c r="A354" s="48"/>
      <c r="B354" s="49"/>
      <c r="C354" s="50"/>
      <c r="D354" s="51"/>
      <c r="E354" s="51"/>
      <c r="F354" s="51"/>
      <c r="G354" s="52"/>
      <c r="H354" s="5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>
      <c r="A355" s="48"/>
      <c r="B355" s="49"/>
      <c r="C355" s="50"/>
      <c r="D355" s="51"/>
      <c r="E355" s="51"/>
      <c r="F355" s="51"/>
      <c r="G355" s="52"/>
      <c r="H355" s="5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>
      <c r="A356" s="48"/>
      <c r="B356" s="49"/>
      <c r="C356" s="50"/>
      <c r="D356" s="51"/>
      <c r="E356" s="51"/>
      <c r="F356" s="51"/>
      <c r="G356" s="52"/>
      <c r="H356" s="5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>
      <c r="A357" s="48"/>
      <c r="B357" s="49"/>
      <c r="C357" s="50"/>
      <c r="D357" s="51"/>
      <c r="E357" s="51"/>
      <c r="F357" s="51"/>
      <c r="G357" s="52"/>
      <c r="H357" s="5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>
      <c r="A358" s="48"/>
      <c r="B358" s="49"/>
      <c r="C358" s="50"/>
      <c r="D358" s="51"/>
      <c r="E358" s="51"/>
      <c r="F358" s="51"/>
      <c r="G358" s="52"/>
      <c r="H358" s="5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>
      <c r="A359" s="48"/>
      <c r="B359" s="49"/>
      <c r="C359" s="50"/>
      <c r="D359" s="51"/>
      <c r="E359" s="51"/>
      <c r="F359" s="51"/>
      <c r="G359" s="52"/>
      <c r="H359" s="5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>
      <c r="A360" s="48"/>
      <c r="B360" s="49"/>
      <c r="C360" s="50"/>
      <c r="D360" s="51"/>
      <c r="E360" s="51"/>
      <c r="F360" s="51"/>
      <c r="G360" s="52"/>
      <c r="H360" s="5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>
      <c r="A361" s="48"/>
      <c r="B361" s="49"/>
      <c r="C361" s="50"/>
      <c r="D361" s="51"/>
      <c r="E361" s="51"/>
      <c r="F361" s="51"/>
      <c r="G361" s="52"/>
      <c r="H361" s="5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>
      <c r="A362" s="48"/>
      <c r="B362" s="49"/>
      <c r="C362" s="50"/>
      <c r="D362" s="51"/>
      <c r="E362" s="51"/>
      <c r="F362" s="51"/>
      <c r="G362" s="52"/>
      <c r="H362" s="5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>
      <c r="A363" s="48"/>
      <c r="B363" s="49"/>
      <c r="C363" s="50"/>
      <c r="D363" s="51"/>
      <c r="E363" s="51"/>
      <c r="F363" s="51"/>
      <c r="G363" s="52"/>
      <c r="H363" s="5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>
      <c r="A364" s="48"/>
      <c r="B364" s="49"/>
      <c r="C364" s="50"/>
      <c r="D364" s="51"/>
      <c r="E364" s="51"/>
      <c r="F364" s="51"/>
      <c r="G364" s="52"/>
      <c r="H364" s="5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>
      <c r="A365" s="48"/>
      <c r="B365" s="49"/>
      <c r="C365" s="50"/>
      <c r="D365" s="51"/>
      <c r="E365" s="51"/>
      <c r="F365" s="51"/>
      <c r="G365" s="52"/>
      <c r="H365" s="5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>
      <c r="A366" s="48"/>
      <c r="B366" s="49"/>
      <c r="C366" s="50"/>
      <c r="D366" s="51"/>
      <c r="E366" s="51"/>
      <c r="F366" s="51"/>
      <c r="G366" s="52"/>
      <c r="H366" s="5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>
      <c r="A367" s="48"/>
      <c r="B367" s="49"/>
      <c r="C367" s="50"/>
      <c r="D367" s="51"/>
      <c r="E367" s="51"/>
      <c r="F367" s="51"/>
      <c r="G367" s="52"/>
      <c r="H367" s="5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>
      <c r="A368" s="48"/>
      <c r="B368" s="49"/>
      <c r="C368" s="50"/>
      <c r="D368" s="51"/>
      <c r="E368" s="51"/>
      <c r="F368" s="51"/>
      <c r="G368" s="52"/>
      <c r="H368" s="5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>
      <c r="A369" s="48"/>
      <c r="B369" s="49"/>
      <c r="C369" s="50"/>
      <c r="D369" s="51"/>
      <c r="E369" s="51"/>
      <c r="F369" s="51"/>
      <c r="G369" s="52"/>
      <c r="H369" s="5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>
      <c r="A370" s="48"/>
      <c r="B370" s="49"/>
      <c r="C370" s="50"/>
      <c r="D370" s="51"/>
      <c r="E370" s="51"/>
      <c r="F370" s="51"/>
      <c r="G370" s="52"/>
      <c r="H370" s="5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.75" customHeight="1">
      <c r="A371" s="6"/>
      <c r="B371" s="1"/>
      <c r="C371" s="1"/>
      <c r="D371" s="7"/>
      <c r="E371" s="8"/>
      <c r="F371" s="8"/>
      <c r="G371" s="7"/>
      <c r="H371" s="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84" customHeight="1">
      <c r="A372" s="104" t="s">
        <v>67</v>
      </c>
      <c r="B372" s="104"/>
      <c r="C372" s="104"/>
      <c r="D372" s="104"/>
      <c r="E372" s="104"/>
      <c r="F372" s="104"/>
      <c r="G372" s="104"/>
      <c r="H372" s="10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21" customHeight="1">
      <c r="A373" s="104"/>
      <c r="B373" s="104"/>
      <c r="C373" s="104"/>
      <c r="D373" s="104"/>
      <c r="E373" s="104"/>
      <c r="F373" s="104"/>
      <c r="G373" s="104"/>
      <c r="H373" s="104"/>
      <c r="I373" s="10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>
      <c r="A374" s="9"/>
      <c r="B374" s="1"/>
      <c r="C374" s="1"/>
      <c r="D374" s="1"/>
      <c r="E374" s="10"/>
      <c r="F374" s="1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>
      <c r="A375" s="9"/>
      <c r="B375" s="1"/>
      <c r="C375" s="1"/>
      <c r="D375" s="1"/>
      <c r="E375" s="10"/>
      <c r="F375" s="1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>
      <c r="A376" s="9"/>
      <c r="B376" s="1"/>
      <c r="C376" s="1"/>
      <c r="D376" s="1"/>
      <c r="E376" s="10"/>
      <c r="F376" s="1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>
      <c r="A377" s="9"/>
      <c r="B377" s="1"/>
      <c r="C377" s="1"/>
      <c r="D377" s="1"/>
      <c r="E377" s="10"/>
      <c r="F377" s="1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>
      <c r="A378" s="9"/>
      <c r="B378" s="1"/>
      <c r="C378" s="1"/>
      <c r="D378" s="1"/>
      <c r="E378" s="10"/>
      <c r="F378" s="1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>
      <c r="A379" s="9"/>
      <c r="B379" s="1"/>
      <c r="C379" s="1"/>
      <c r="D379" s="1"/>
      <c r="E379" s="10"/>
      <c r="F379" s="1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>
      <c r="A380" s="9"/>
      <c r="B380" s="1"/>
      <c r="C380" s="1"/>
      <c r="D380" s="1"/>
      <c r="E380" s="10"/>
      <c r="F380" s="1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>
      <c r="A381" s="9"/>
      <c r="B381" s="1"/>
      <c r="C381" s="1"/>
      <c r="D381" s="1"/>
      <c r="E381" s="10"/>
      <c r="F381" s="1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>
      <c r="A382" s="9"/>
      <c r="B382" s="1"/>
      <c r="C382" s="1"/>
      <c r="D382" s="1"/>
      <c r="E382" s="10"/>
      <c r="F382" s="1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>
      <c r="A383" s="9"/>
      <c r="B383" s="1"/>
      <c r="C383" s="1"/>
      <c r="D383" s="1"/>
      <c r="E383" s="10"/>
      <c r="F383" s="1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>
      <c r="A384" s="9"/>
      <c r="B384" s="1"/>
      <c r="C384" s="1"/>
      <c r="D384" s="1"/>
      <c r="E384" s="10"/>
      <c r="F384" s="1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>
      <c r="A385" s="9"/>
      <c r="B385" s="1"/>
      <c r="C385" s="1"/>
      <c r="D385" s="1"/>
      <c r="E385" s="10"/>
      <c r="F385" s="1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>
      <c r="A386" s="9"/>
      <c r="B386" s="1"/>
      <c r="C386" s="1"/>
      <c r="D386" s="1"/>
      <c r="E386" s="10"/>
      <c r="F386" s="1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>
      <c r="A387" s="9"/>
      <c r="B387" s="1"/>
      <c r="C387" s="1"/>
      <c r="D387" s="1"/>
      <c r="E387" s="10"/>
      <c r="F387" s="1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>
      <c r="A388" s="9"/>
      <c r="B388" s="1"/>
      <c r="C388" s="1"/>
      <c r="D388" s="1"/>
      <c r="E388" s="10"/>
      <c r="F388" s="1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>
      <c r="A389" s="9"/>
      <c r="B389" s="1"/>
      <c r="C389" s="1"/>
      <c r="D389" s="1"/>
      <c r="E389" s="10"/>
      <c r="F389" s="1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>
      <c r="A390" s="9"/>
      <c r="B390" s="1"/>
      <c r="C390" s="1"/>
      <c r="D390" s="1"/>
      <c r="E390" s="10"/>
      <c r="F390" s="1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>
      <c r="A391" s="9"/>
      <c r="B391" s="1"/>
      <c r="C391" s="1"/>
      <c r="D391" s="1"/>
      <c r="E391" s="10"/>
      <c r="F391" s="1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>
      <c r="A392" s="9"/>
      <c r="B392" s="1"/>
      <c r="C392" s="1"/>
      <c r="D392" s="1"/>
      <c r="E392" s="10"/>
      <c r="F392" s="1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>
      <c r="A393" s="9"/>
      <c r="B393" s="1"/>
      <c r="C393" s="1"/>
      <c r="D393" s="1"/>
      <c r="E393" s="10"/>
      <c r="F393" s="1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>
      <c r="A394" s="9"/>
      <c r="B394" s="1"/>
      <c r="C394" s="1"/>
      <c r="D394" s="1"/>
      <c r="E394" s="10"/>
      <c r="F394" s="1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>
      <c r="A395" s="9"/>
      <c r="B395" s="1"/>
      <c r="C395" s="1"/>
      <c r="D395" s="1"/>
      <c r="E395" s="10"/>
      <c r="F395" s="1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>
      <c r="A396" s="9"/>
      <c r="B396" s="1"/>
      <c r="C396" s="1"/>
      <c r="D396" s="1"/>
      <c r="E396" s="10"/>
      <c r="F396" s="1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>
      <c r="A397" s="9"/>
      <c r="B397" s="1"/>
      <c r="C397" s="1"/>
      <c r="D397" s="1"/>
      <c r="E397" s="10"/>
      <c r="F397" s="1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>
      <c r="A398" s="9"/>
      <c r="B398" s="1"/>
      <c r="C398" s="1"/>
      <c r="D398" s="1"/>
      <c r="E398" s="10"/>
      <c r="F398" s="1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>
      <c r="A399" s="9"/>
      <c r="B399" s="1"/>
      <c r="C399" s="1"/>
      <c r="D399" s="1"/>
      <c r="E399" s="10"/>
      <c r="F399" s="1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>
      <c r="A400" s="9"/>
      <c r="B400" s="1"/>
      <c r="C400" s="1"/>
      <c r="D400" s="1"/>
      <c r="E400" s="10"/>
      <c r="F400" s="1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6">
      <c r="A401" s="11"/>
      <c r="E401" s="12"/>
      <c r="F401" s="12"/>
    </row>
    <row r="402" spans="1:6">
      <c r="A402" s="11"/>
      <c r="E402" s="12"/>
      <c r="F402" s="12"/>
    </row>
    <row r="403" spans="1:6">
      <c r="A403" s="11"/>
      <c r="E403" s="12"/>
      <c r="F403" s="12"/>
    </row>
    <row r="404" spans="1:6">
      <c r="A404" s="11"/>
      <c r="E404" s="12"/>
      <c r="F404" s="12"/>
    </row>
    <row r="405" spans="1:6">
      <c r="A405" s="11"/>
      <c r="E405" s="12"/>
      <c r="F405" s="12"/>
    </row>
    <row r="406" spans="1:6">
      <c r="A406" s="11"/>
      <c r="E406" s="12"/>
      <c r="F406" s="12"/>
    </row>
    <row r="407" spans="1:6">
      <c r="E407" s="12"/>
      <c r="F407" s="12"/>
    </row>
    <row r="408" spans="1:6">
      <c r="E408" s="12"/>
      <c r="F408" s="12"/>
    </row>
    <row r="409" spans="1:6">
      <c r="E409" s="12"/>
      <c r="F409" s="12"/>
    </row>
    <row r="410" spans="1:6">
      <c r="E410" s="12"/>
      <c r="F410" s="12"/>
    </row>
    <row r="411" spans="1:6">
      <c r="E411" s="12"/>
      <c r="F411" s="12"/>
    </row>
    <row r="412" spans="1:6">
      <c r="E412" s="12"/>
      <c r="F412" s="12"/>
    </row>
    <row r="413" spans="1:6">
      <c r="E413" s="12"/>
      <c r="F413" s="12"/>
    </row>
    <row r="414" spans="1:6">
      <c r="E414" s="12"/>
      <c r="F414" s="12"/>
    </row>
  </sheetData>
  <mergeCells count="130">
    <mergeCell ref="A267:A271"/>
    <mergeCell ref="B267:B271"/>
    <mergeCell ref="A372:H372"/>
    <mergeCell ref="A373:I373"/>
    <mergeCell ref="A252:A256"/>
    <mergeCell ref="B252:B256"/>
    <mergeCell ref="A257:A261"/>
    <mergeCell ref="B257:B261"/>
    <mergeCell ref="A262:A266"/>
    <mergeCell ref="B262:B266"/>
    <mergeCell ref="A297:A301"/>
    <mergeCell ref="B297:B301"/>
    <mergeCell ref="A302:A306"/>
    <mergeCell ref="B302:B306"/>
    <mergeCell ref="A272:A276"/>
    <mergeCell ref="B272:B276"/>
    <mergeCell ref="A277:A281"/>
    <mergeCell ref="B277:B281"/>
    <mergeCell ref="A282:A286"/>
    <mergeCell ref="B282:B286"/>
    <mergeCell ref="A287:A291"/>
    <mergeCell ref="B287:B291"/>
    <mergeCell ref="A292:A296"/>
    <mergeCell ref="B292:B296"/>
    <mergeCell ref="A227:A231"/>
    <mergeCell ref="B227:B231"/>
    <mergeCell ref="A232:A236"/>
    <mergeCell ref="B232:B236"/>
    <mergeCell ref="A237:A241"/>
    <mergeCell ref="B237:B241"/>
    <mergeCell ref="A207:A211"/>
    <mergeCell ref="B207:B211"/>
    <mergeCell ref="A212:A216"/>
    <mergeCell ref="B212:B216"/>
    <mergeCell ref="A217:A221"/>
    <mergeCell ref="B217:B221"/>
    <mergeCell ref="A222:A226"/>
    <mergeCell ref="B222:B226"/>
    <mergeCell ref="A202:A206"/>
    <mergeCell ref="B202:B206"/>
    <mergeCell ref="A187:A191"/>
    <mergeCell ref="B187:B191"/>
    <mergeCell ref="A192:A196"/>
    <mergeCell ref="B192:B196"/>
    <mergeCell ref="A197:A201"/>
    <mergeCell ref="B197:B201"/>
    <mergeCell ref="A182:A186"/>
    <mergeCell ref="B182:B186"/>
    <mergeCell ref="A167:A171"/>
    <mergeCell ref="B167:B171"/>
    <mergeCell ref="A172:A176"/>
    <mergeCell ref="B172:B176"/>
    <mergeCell ref="A177:A181"/>
    <mergeCell ref="B177:B181"/>
    <mergeCell ref="A162:A166"/>
    <mergeCell ref="B162:B166"/>
    <mergeCell ref="A137:A141"/>
    <mergeCell ref="B137:B141"/>
    <mergeCell ref="A142:A146"/>
    <mergeCell ref="B142:B146"/>
    <mergeCell ref="A147:A151"/>
    <mergeCell ref="B147:B151"/>
    <mergeCell ref="B127:B131"/>
    <mergeCell ref="A132:A136"/>
    <mergeCell ref="B132:B136"/>
    <mergeCell ref="B122:B126"/>
    <mergeCell ref="B87:B91"/>
    <mergeCell ref="B92:E92"/>
    <mergeCell ref="A102:A106"/>
    <mergeCell ref="B102:B106"/>
    <mergeCell ref="A152:A156"/>
    <mergeCell ref="B152:B156"/>
    <mergeCell ref="A157:A161"/>
    <mergeCell ref="B157:B161"/>
    <mergeCell ref="A107:A111"/>
    <mergeCell ref="B107:B111"/>
    <mergeCell ref="A112:A116"/>
    <mergeCell ref="B112:B116"/>
    <mergeCell ref="A117:A121"/>
    <mergeCell ref="B94:B97"/>
    <mergeCell ref="B98:B101"/>
    <mergeCell ref="A98:A101"/>
    <mergeCell ref="A94:A97"/>
    <mergeCell ref="A72:A76"/>
    <mergeCell ref="B117:B121"/>
    <mergeCell ref="A77:A81"/>
    <mergeCell ref="A242:A246"/>
    <mergeCell ref="B242:B246"/>
    <mergeCell ref="A247:A251"/>
    <mergeCell ref="B247:B251"/>
    <mergeCell ref="I4:I5"/>
    <mergeCell ref="A7:A11"/>
    <mergeCell ref="B7:B11"/>
    <mergeCell ref="A12:A16"/>
    <mergeCell ref="B12:B16"/>
    <mergeCell ref="A17:A21"/>
    <mergeCell ref="B17:B21"/>
    <mergeCell ref="A52:A56"/>
    <mergeCell ref="B52:B56"/>
    <mergeCell ref="A37:A41"/>
    <mergeCell ref="B37:B41"/>
    <mergeCell ref="A42:A46"/>
    <mergeCell ref="B42:B46"/>
    <mergeCell ref="A47:A51"/>
    <mergeCell ref="B47:B51"/>
    <mergeCell ref="B77:B81"/>
    <mergeCell ref="A122:A126"/>
    <mergeCell ref="B72:B76"/>
    <mergeCell ref="A127:A131"/>
    <mergeCell ref="A2:H2"/>
    <mergeCell ref="A4:A5"/>
    <mergeCell ref="B4:B5"/>
    <mergeCell ref="D4:F4"/>
    <mergeCell ref="G4:G5"/>
    <mergeCell ref="H4:H5"/>
    <mergeCell ref="A22:A26"/>
    <mergeCell ref="B22:B26"/>
    <mergeCell ref="A27:A31"/>
    <mergeCell ref="B27:B31"/>
    <mergeCell ref="A32:A36"/>
    <mergeCell ref="B32:B36"/>
    <mergeCell ref="A57:A61"/>
    <mergeCell ref="B57:B61"/>
    <mergeCell ref="A62:A66"/>
    <mergeCell ref="B62:B66"/>
    <mergeCell ref="A82:A86"/>
    <mergeCell ref="B82:B86"/>
    <mergeCell ref="A87:A91"/>
    <mergeCell ref="A67:A71"/>
    <mergeCell ref="B67:B71"/>
  </mergeCells>
  <printOptions horizontalCentered="1"/>
  <pageMargins left="0.70866141732283472" right="0.70866141732283472" top="0.78740157480314965" bottom="0.39370078740157483" header="0.62992125984251968" footer="0.31496062992125984"/>
  <pageSetup paperSize="9" scale="84" orientation="landscape" r:id="rId1"/>
  <rowBreaks count="2" manualBreakCount="2">
    <brk id="34" max="7" man="1"/>
    <brk id="8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F65"/>
  <sheetViews>
    <sheetView view="pageBreakPreview" topLeftCell="A25" zoomScale="60" workbookViewId="0">
      <selection activeCell="D55" sqref="D55"/>
    </sheetView>
  </sheetViews>
  <sheetFormatPr defaultRowHeight="15"/>
  <cols>
    <col min="1" max="1" width="6" style="33" customWidth="1"/>
    <col min="2" max="2" width="53.42578125" style="33" customWidth="1"/>
    <col min="3" max="3" width="9.140625" style="33"/>
    <col min="4" max="4" width="13.85546875" style="34" customWidth="1"/>
    <col min="5" max="5" width="13.28515625" style="34" customWidth="1"/>
    <col min="6" max="6" width="9.140625" style="29"/>
  </cols>
  <sheetData>
    <row r="2" spans="1:6">
      <c r="D2" s="34" t="s">
        <v>103</v>
      </c>
      <c r="E2" s="34" t="s">
        <v>104</v>
      </c>
    </row>
    <row r="3" spans="1:6">
      <c r="A3" s="108" t="s">
        <v>1</v>
      </c>
      <c r="B3" s="111" t="s">
        <v>69</v>
      </c>
      <c r="C3" s="31" t="s">
        <v>101</v>
      </c>
      <c r="D3" s="36">
        <v>260265.7</v>
      </c>
      <c r="E3" s="36">
        <v>240388.8</v>
      </c>
      <c r="F3" s="30">
        <f>E3/D3</f>
        <v>0.92362843048469301</v>
      </c>
    </row>
    <row r="4" spans="1:6">
      <c r="A4" s="126"/>
      <c r="B4" s="126"/>
      <c r="C4" s="32" t="s">
        <v>102</v>
      </c>
      <c r="D4" s="35">
        <v>253306</v>
      </c>
      <c r="E4" s="35">
        <v>234882.4</v>
      </c>
      <c r="F4" s="30">
        <f t="shared" ref="F4:F16" si="0">E4/D4</f>
        <v>0.92726741569485127</v>
      </c>
    </row>
    <row r="5" spans="1:6">
      <c r="A5" s="126"/>
      <c r="B5" s="126"/>
      <c r="C5" s="32" t="s">
        <v>6</v>
      </c>
      <c r="D5" s="35">
        <v>6959.7</v>
      </c>
      <c r="E5" s="35">
        <v>5506.4</v>
      </c>
      <c r="F5" s="30">
        <f t="shared" si="0"/>
        <v>0.7911835280256333</v>
      </c>
    </row>
    <row r="6" spans="1:6">
      <c r="A6" s="127"/>
      <c r="B6" s="127"/>
      <c r="C6" s="32" t="s">
        <v>10</v>
      </c>
      <c r="D6" s="35">
        <v>0</v>
      </c>
      <c r="E6" s="35">
        <v>0</v>
      </c>
      <c r="F6" s="30"/>
    </row>
    <row r="7" spans="1:6">
      <c r="A7" s="108" t="s">
        <v>7</v>
      </c>
      <c r="B7" s="111" t="s">
        <v>8</v>
      </c>
      <c r="C7" s="31" t="s">
        <v>101</v>
      </c>
      <c r="D7" s="36">
        <f>SUM(D8:D10)</f>
        <v>3728976.4000000004</v>
      </c>
      <c r="E7" s="36">
        <f>SUM(E8:E10)</f>
        <v>3683057.3</v>
      </c>
      <c r="F7" s="30">
        <f t="shared" si="0"/>
        <v>0.98768587004197705</v>
      </c>
    </row>
    <row r="8" spans="1:6">
      <c r="A8" s="114"/>
      <c r="B8" s="124"/>
      <c r="C8" s="32" t="s">
        <v>102</v>
      </c>
      <c r="D8" s="35">
        <v>1379083.6</v>
      </c>
      <c r="E8" s="35">
        <v>1342279.3</v>
      </c>
      <c r="F8" s="30">
        <f t="shared" si="0"/>
        <v>0.97331249534110909</v>
      </c>
    </row>
    <row r="9" spans="1:6">
      <c r="A9" s="114"/>
      <c r="B9" s="124"/>
      <c r="C9" s="32" t="s">
        <v>6</v>
      </c>
      <c r="D9" s="35">
        <v>2329747.1</v>
      </c>
      <c r="E9" s="35">
        <v>2320632.2999999998</v>
      </c>
      <c r="F9" s="30">
        <f t="shared" si="0"/>
        <v>0.99608764401938721</v>
      </c>
    </row>
    <row r="10" spans="1:6">
      <c r="A10" s="115"/>
      <c r="B10" s="125"/>
      <c r="C10" s="32" t="s">
        <v>10</v>
      </c>
      <c r="D10" s="35">
        <v>20145.7</v>
      </c>
      <c r="E10" s="35">
        <v>20145.7</v>
      </c>
      <c r="F10" s="30">
        <f t="shared" si="0"/>
        <v>1</v>
      </c>
    </row>
    <row r="11" spans="1:6">
      <c r="A11" s="108" t="s">
        <v>16</v>
      </c>
      <c r="B11" s="116" t="s">
        <v>17</v>
      </c>
      <c r="C11" s="31" t="s">
        <v>101</v>
      </c>
      <c r="D11" s="36">
        <f>SUM(D12:D14)</f>
        <v>438569.4</v>
      </c>
      <c r="E11" s="36">
        <f>SUM(E12:E14)</f>
        <v>433631.2</v>
      </c>
      <c r="F11" s="30">
        <f t="shared" si="0"/>
        <v>0.98874020850519895</v>
      </c>
    </row>
    <row r="12" spans="1:6">
      <c r="A12" s="114"/>
      <c r="B12" s="117"/>
      <c r="C12" s="32" t="s">
        <v>102</v>
      </c>
      <c r="D12" s="35">
        <v>438534.40000000002</v>
      </c>
      <c r="E12" s="35">
        <v>433596.2</v>
      </c>
      <c r="F12" s="30">
        <f t="shared" si="0"/>
        <v>0.98873930984661629</v>
      </c>
    </row>
    <row r="13" spans="1:6">
      <c r="A13" s="114"/>
      <c r="B13" s="117"/>
      <c r="C13" s="32" t="s">
        <v>6</v>
      </c>
      <c r="D13" s="35">
        <v>35</v>
      </c>
      <c r="E13" s="35">
        <v>35</v>
      </c>
      <c r="F13" s="30">
        <f t="shared" si="0"/>
        <v>1</v>
      </c>
    </row>
    <row r="14" spans="1:6">
      <c r="A14" s="115"/>
      <c r="B14" s="118"/>
      <c r="C14" s="32" t="s">
        <v>10</v>
      </c>
      <c r="D14" s="35">
        <v>0</v>
      </c>
      <c r="E14" s="35">
        <v>0</v>
      </c>
    </row>
    <row r="15" spans="1:6">
      <c r="A15" s="108" t="s">
        <v>24</v>
      </c>
      <c r="B15" s="116" t="s">
        <v>70</v>
      </c>
      <c r="C15" s="31" t="s">
        <v>101</v>
      </c>
      <c r="D15" s="36">
        <f>SUM(D16:D18)</f>
        <v>33520.199999999997</v>
      </c>
      <c r="E15" s="36">
        <f>SUM(E16:E18)</f>
        <v>33039.4</v>
      </c>
      <c r="F15" s="30">
        <f t="shared" si="0"/>
        <v>0.98565641016461725</v>
      </c>
    </row>
    <row r="16" spans="1:6">
      <c r="A16" s="114"/>
      <c r="B16" s="117"/>
      <c r="C16" s="32" t="s">
        <v>102</v>
      </c>
      <c r="D16" s="35">
        <v>33520.199999999997</v>
      </c>
      <c r="E16" s="35">
        <v>33039.4</v>
      </c>
      <c r="F16" s="30">
        <f t="shared" si="0"/>
        <v>0.98565641016461725</v>
      </c>
    </row>
    <row r="17" spans="1:6">
      <c r="A17" s="114"/>
      <c r="B17" s="117"/>
      <c r="C17" s="32" t="s">
        <v>6</v>
      </c>
      <c r="D17" s="35">
        <v>0</v>
      </c>
      <c r="E17" s="35">
        <v>0</v>
      </c>
    </row>
    <row r="18" spans="1:6">
      <c r="A18" s="115"/>
      <c r="B18" s="118"/>
      <c r="C18" s="32" t="s">
        <v>10</v>
      </c>
      <c r="D18" s="35">
        <v>0</v>
      </c>
      <c r="E18" s="35">
        <v>0</v>
      </c>
    </row>
    <row r="19" spans="1:6">
      <c r="A19" s="108" t="s">
        <v>25</v>
      </c>
      <c r="B19" s="116" t="s">
        <v>74</v>
      </c>
      <c r="C19" s="31" t="s">
        <v>101</v>
      </c>
      <c r="D19" s="36">
        <f>SUM(D20:D22)</f>
        <v>15970.3</v>
      </c>
      <c r="E19" s="36">
        <f>SUM(E20:E22)</f>
        <v>2989.4</v>
      </c>
      <c r="F19" s="30">
        <f t="shared" ref="F19:F32" si="1">E19/D19</f>
        <v>0.1871849620858719</v>
      </c>
    </row>
    <row r="20" spans="1:6">
      <c r="A20" s="109"/>
      <c r="B20" s="121"/>
      <c r="C20" s="32" t="s">
        <v>102</v>
      </c>
      <c r="D20" s="35">
        <v>4431.5</v>
      </c>
      <c r="E20" s="35">
        <v>543.1</v>
      </c>
      <c r="F20" s="30">
        <f t="shared" si="1"/>
        <v>0.12255443980593479</v>
      </c>
    </row>
    <row r="21" spans="1:6">
      <c r="A21" s="109"/>
      <c r="B21" s="121"/>
      <c r="C21" s="32" t="s">
        <v>6</v>
      </c>
      <c r="D21" s="35">
        <v>11307.4</v>
      </c>
      <c r="E21" s="35">
        <v>2214.9</v>
      </c>
      <c r="F21" s="30">
        <f t="shared" si="1"/>
        <v>0.19588057378353999</v>
      </c>
    </row>
    <row r="22" spans="1:6">
      <c r="A22" s="119"/>
      <c r="B22" s="122"/>
      <c r="C22" s="32" t="s">
        <v>10</v>
      </c>
      <c r="D22" s="35">
        <v>231.4</v>
      </c>
      <c r="E22" s="35">
        <v>231.4</v>
      </c>
      <c r="F22" s="30">
        <f t="shared" si="1"/>
        <v>1</v>
      </c>
    </row>
    <row r="23" spans="1:6">
      <c r="A23" s="108" t="s">
        <v>26</v>
      </c>
      <c r="B23" s="116" t="s">
        <v>77</v>
      </c>
      <c r="C23" s="31" t="s">
        <v>101</v>
      </c>
      <c r="D23" s="36">
        <f>SUM(D24:D26)</f>
        <v>943418.8</v>
      </c>
      <c r="E23" s="36">
        <f>SUM(E24:E26)</f>
        <v>632184.30000000005</v>
      </c>
      <c r="F23" s="30">
        <f t="shared" si="1"/>
        <v>0.67009932386337856</v>
      </c>
    </row>
    <row r="24" spans="1:6">
      <c r="A24" s="114"/>
      <c r="B24" s="121"/>
      <c r="C24" s="32" t="s">
        <v>102</v>
      </c>
      <c r="D24" s="35">
        <v>810492.9</v>
      </c>
      <c r="E24" s="35">
        <v>504561.4</v>
      </c>
      <c r="F24" s="30">
        <f t="shared" si="1"/>
        <v>0.6225364836632129</v>
      </c>
    </row>
    <row r="25" spans="1:6">
      <c r="A25" s="114"/>
      <c r="B25" s="121"/>
      <c r="C25" s="32" t="s">
        <v>6</v>
      </c>
      <c r="D25" s="35">
        <v>132925.9</v>
      </c>
      <c r="E25" s="35">
        <v>127622.9</v>
      </c>
      <c r="F25" s="30">
        <f t="shared" si="1"/>
        <v>0.96010559266478546</v>
      </c>
    </row>
    <row r="26" spans="1:6">
      <c r="A26" s="115"/>
      <c r="B26" s="123"/>
      <c r="C26" s="32" t="s">
        <v>10</v>
      </c>
      <c r="D26" s="35">
        <v>0</v>
      </c>
      <c r="E26" s="35">
        <v>0</v>
      </c>
      <c r="F26" s="30"/>
    </row>
    <row r="27" spans="1:6">
      <c r="A27" s="108" t="s">
        <v>27</v>
      </c>
      <c r="B27" s="116" t="s">
        <v>81</v>
      </c>
      <c r="C27" s="31" t="s">
        <v>101</v>
      </c>
      <c r="D27" s="36">
        <f>SUM(D28:D30)</f>
        <v>108628.1</v>
      </c>
      <c r="E27" s="36">
        <f>SUM(E28:E30)</f>
        <v>103157.5</v>
      </c>
      <c r="F27" s="30">
        <f t="shared" si="1"/>
        <v>0.94963918175867934</v>
      </c>
    </row>
    <row r="28" spans="1:6">
      <c r="A28" s="114"/>
      <c r="B28" s="121"/>
      <c r="C28" s="32" t="s">
        <v>102</v>
      </c>
      <c r="D28" s="35">
        <v>106842</v>
      </c>
      <c r="E28" s="35">
        <v>101781.7</v>
      </c>
      <c r="F28" s="30">
        <f t="shared" si="1"/>
        <v>0.95263753954437391</v>
      </c>
    </row>
    <row r="29" spans="1:6">
      <c r="A29" s="114"/>
      <c r="B29" s="121"/>
      <c r="C29" s="32" t="s">
        <v>6</v>
      </c>
      <c r="D29" s="35">
        <v>1786.1</v>
      </c>
      <c r="E29" s="35">
        <v>1375.8</v>
      </c>
      <c r="F29" s="30">
        <f t="shared" si="1"/>
        <v>0.77028161917025928</v>
      </c>
    </row>
    <row r="30" spans="1:6">
      <c r="A30" s="115"/>
      <c r="B30" s="122"/>
      <c r="C30" s="32" t="s">
        <v>10</v>
      </c>
      <c r="D30" s="35">
        <v>0</v>
      </c>
      <c r="E30" s="35">
        <v>0</v>
      </c>
    </row>
    <row r="31" spans="1:6">
      <c r="A31" s="108" t="s">
        <v>28</v>
      </c>
      <c r="B31" s="111" t="s">
        <v>85</v>
      </c>
      <c r="C31" s="31" t="s">
        <v>101</v>
      </c>
      <c r="D31" s="36">
        <f>SUM(D32:D34)</f>
        <v>30579.5</v>
      </c>
      <c r="E31" s="36">
        <f>SUM(E32:E34)</f>
        <v>25299.1</v>
      </c>
      <c r="F31" s="30">
        <f t="shared" si="1"/>
        <v>0.82732222567406266</v>
      </c>
    </row>
    <row r="32" spans="1:6">
      <c r="A32" s="114"/>
      <c r="B32" s="112"/>
      <c r="C32" s="32" t="s">
        <v>102</v>
      </c>
      <c r="D32" s="35">
        <v>30579.5</v>
      </c>
      <c r="E32" s="35">
        <v>25299.1</v>
      </c>
      <c r="F32" s="30">
        <f t="shared" si="1"/>
        <v>0.82732222567406266</v>
      </c>
    </row>
    <row r="33" spans="1:6">
      <c r="A33" s="114"/>
      <c r="B33" s="112"/>
      <c r="C33" s="32" t="s">
        <v>6</v>
      </c>
      <c r="D33" s="35">
        <v>0</v>
      </c>
      <c r="E33" s="35">
        <v>0</v>
      </c>
    </row>
    <row r="34" spans="1:6">
      <c r="A34" s="115"/>
      <c r="B34" s="120"/>
      <c r="C34" s="32" t="s">
        <v>10</v>
      </c>
      <c r="D34" s="35">
        <v>0</v>
      </c>
      <c r="E34" s="35">
        <v>0</v>
      </c>
    </row>
    <row r="35" spans="1:6">
      <c r="A35" s="108" t="s">
        <v>29</v>
      </c>
      <c r="B35" s="111" t="s">
        <v>87</v>
      </c>
      <c r="C35" s="31" t="s">
        <v>101</v>
      </c>
      <c r="D35" s="36">
        <f>SUM(D36:D38)</f>
        <v>6021.6</v>
      </c>
      <c r="E35" s="36">
        <f>SUM(E36:E38)</f>
        <v>5455.5</v>
      </c>
      <c r="F35" s="30">
        <f t="shared" ref="F35:F36" si="2">E35/D35</f>
        <v>0.9059884416102032</v>
      </c>
    </row>
    <row r="36" spans="1:6">
      <c r="A36" s="109"/>
      <c r="B36" s="112"/>
      <c r="C36" s="32" t="s">
        <v>102</v>
      </c>
      <c r="D36" s="35">
        <v>6021.6</v>
      </c>
      <c r="E36" s="35">
        <v>5455.5</v>
      </c>
      <c r="F36" s="30">
        <f t="shared" si="2"/>
        <v>0.9059884416102032</v>
      </c>
    </row>
    <row r="37" spans="1:6">
      <c r="A37" s="109"/>
      <c r="B37" s="112"/>
      <c r="C37" s="32" t="s">
        <v>6</v>
      </c>
      <c r="D37" s="35">
        <v>0</v>
      </c>
      <c r="E37" s="35">
        <v>0</v>
      </c>
    </row>
    <row r="38" spans="1:6">
      <c r="A38" s="119"/>
      <c r="B38" s="120"/>
      <c r="C38" s="32" t="s">
        <v>10</v>
      </c>
      <c r="D38" s="35">
        <v>0</v>
      </c>
      <c r="E38" s="35">
        <v>0</v>
      </c>
    </row>
    <row r="39" spans="1:6">
      <c r="A39" s="108" t="s">
        <v>30</v>
      </c>
      <c r="B39" s="111" t="s">
        <v>88</v>
      </c>
      <c r="C39" s="31" t="s">
        <v>101</v>
      </c>
      <c r="D39" s="36">
        <f>SUM(D40:D42)</f>
        <v>10360.299999999999</v>
      </c>
      <c r="E39" s="36">
        <f>SUM(E40:E42)</f>
        <v>9725.7000000000007</v>
      </c>
      <c r="F39" s="30">
        <f t="shared" ref="F39:F56" si="3">E39/D39</f>
        <v>0.93874694748221588</v>
      </c>
    </row>
    <row r="40" spans="1:6">
      <c r="A40" s="109"/>
      <c r="B40" s="112"/>
      <c r="C40" s="32" t="s">
        <v>102</v>
      </c>
      <c r="D40" s="35">
        <v>3768.3</v>
      </c>
      <c r="E40" s="35">
        <v>3290.9</v>
      </c>
      <c r="F40" s="30">
        <f t="shared" si="3"/>
        <v>0.87331157285778727</v>
      </c>
    </row>
    <row r="41" spans="1:6">
      <c r="A41" s="109"/>
      <c r="B41" s="112"/>
      <c r="C41" s="32" t="s">
        <v>6</v>
      </c>
      <c r="D41" s="35">
        <v>2301</v>
      </c>
      <c r="E41" s="35">
        <v>2143.8000000000002</v>
      </c>
      <c r="F41" s="30">
        <f t="shared" si="3"/>
        <v>0.93168187744458941</v>
      </c>
    </row>
    <row r="42" spans="1:6">
      <c r="A42" s="119"/>
      <c r="B42" s="120"/>
      <c r="C42" s="32" t="s">
        <v>10</v>
      </c>
      <c r="D42" s="35">
        <v>4291</v>
      </c>
      <c r="E42" s="35">
        <v>4291</v>
      </c>
      <c r="F42" s="30">
        <f t="shared" si="3"/>
        <v>1</v>
      </c>
    </row>
    <row r="43" spans="1:6">
      <c r="A43" s="108" t="s">
        <v>31</v>
      </c>
      <c r="B43" s="111" t="s">
        <v>92</v>
      </c>
      <c r="C43" s="31" t="s">
        <v>101</v>
      </c>
      <c r="D43" s="36">
        <f>SUM(D44:D46)</f>
        <v>579522.80000000005</v>
      </c>
      <c r="E43" s="36">
        <f>SUM(E44:E46)</f>
        <v>558696.6</v>
      </c>
      <c r="F43" s="30">
        <f t="shared" si="3"/>
        <v>0.96406319130153284</v>
      </c>
    </row>
    <row r="44" spans="1:6">
      <c r="A44" s="109"/>
      <c r="B44" s="112"/>
      <c r="C44" s="32" t="s">
        <v>102</v>
      </c>
      <c r="D44" s="35">
        <v>369307</v>
      </c>
      <c r="E44" s="35">
        <v>357819.8</v>
      </c>
      <c r="F44" s="30">
        <f t="shared" si="3"/>
        <v>0.96889525516711028</v>
      </c>
    </row>
    <row r="45" spans="1:6">
      <c r="A45" s="109"/>
      <c r="B45" s="112"/>
      <c r="C45" s="32" t="s">
        <v>6</v>
      </c>
      <c r="D45" s="35">
        <v>189949.9</v>
      </c>
      <c r="E45" s="35">
        <v>181577.60000000001</v>
      </c>
      <c r="F45" s="30">
        <f t="shared" si="3"/>
        <v>0.95592364091794735</v>
      </c>
    </row>
    <row r="46" spans="1:6">
      <c r="A46" s="110"/>
      <c r="B46" s="113"/>
      <c r="C46" s="32" t="s">
        <v>10</v>
      </c>
      <c r="D46" s="35">
        <v>20265.900000000001</v>
      </c>
      <c r="E46" s="35">
        <v>19299.2</v>
      </c>
      <c r="F46" s="30">
        <f t="shared" si="3"/>
        <v>0.95229918237038569</v>
      </c>
    </row>
    <row r="47" spans="1:6">
      <c r="A47" s="108" t="s">
        <v>32</v>
      </c>
      <c r="B47" s="111" t="s">
        <v>95</v>
      </c>
      <c r="C47" s="31" t="s">
        <v>101</v>
      </c>
      <c r="D47" s="36">
        <f>SUM(D48:D50)</f>
        <v>15530.8</v>
      </c>
      <c r="E47" s="36">
        <f>SUM(E48:E50)</f>
        <v>15459.8</v>
      </c>
      <c r="F47" s="30">
        <f t="shared" si="3"/>
        <v>0.99542843897287969</v>
      </c>
    </row>
    <row r="48" spans="1:6">
      <c r="A48" s="109"/>
      <c r="B48" s="112"/>
      <c r="C48" s="32" t="s">
        <v>102</v>
      </c>
      <c r="D48" s="35">
        <v>8524</v>
      </c>
      <c r="E48" s="35">
        <v>8471.2999999999993</v>
      </c>
      <c r="F48" s="30">
        <f t="shared" si="3"/>
        <v>0.99381745659314868</v>
      </c>
    </row>
    <row r="49" spans="1:6">
      <c r="A49" s="109"/>
      <c r="B49" s="112"/>
      <c r="C49" s="32" t="s">
        <v>6</v>
      </c>
      <c r="D49" s="35">
        <v>7006.8</v>
      </c>
      <c r="E49" s="35">
        <v>6988.5</v>
      </c>
      <c r="F49" s="30">
        <f t="shared" si="3"/>
        <v>0.9973882514129131</v>
      </c>
    </row>
    <row r="50" spans="1:6">
      <c r="A50" s="110"/>
      <c r="B50" s="113"/>
      <c r="C50" s="32" t="s">
        <v>10</v>
      </c>
      <c r="D50" s="35">
        <v>0</v>
      </c>
      <c r="E50" s="35">
        <v>0</v>
      </c>
    </row>
    <row r="51" spans="1:6">
      <c r="A51" s="108" t="s">
        <v>33</v>
      </c>
      <c r="B51" s="111" t="s">
        <v>97</v>
      </c>
      <c r="C51" s="31" t="s">
        <v>101</v>
      </c>
      <c r="D51" s="36">
        <f>SUM(D52:D54)</f>
        <v>43727.5</v>
      </c>
      <c r="E51" s="36">
        <f>SUM(E52:E54)</f>
        <v>31121</v>
      </c>
      <c r="F51" s="30">
        <f t="shared" si="3"/>
        <v>0.71170316162597902</v>
      </c>
    </row>
    <row r="52" spans="1:6">
      <c r="A52" s="109"/>
      <c r="B52" s="112"/>
      <c r="C52" s="32" t="s">
        <v>102</v>
      </c>
      <c r="D52" s="35">
        <v>27491.9</v>
      </c>
      <c r="E52" s="35">
        <v>22769.7</v>
      </c>
      <c r="F52" s="30">
        <f t="shared" si="3"/>
        <v>0.82823304318726609</v>
      </c>
    </row>
    <row r="53" spans="1:6">
      <c r="A53" s="109"/>
      <c r="B53" s="112"/>
      <c r="C53" s="32" t="s">
        <v>6</v>
      </c>
      <c r="D53" s="35">
        <v>3280.1</v>
      </c>
      <c r="E53" s="35">
        <v>1719</v>
      </c>
      <c r="F53" s="30">
        <f t="shared" si="3"/>
        <v>0.52406938812841075</v>
      </c>
    </row>
    <row r="54" spans="1:6">
      <c r="A54" s="110"/>
      <c r="B54" s="113"/>
      <c r="C54" s="32" t="s">
        <v>10</v>
      </c>
      <c r="D54" s="35">
        <v>12955.5</v>
      </c>
      <c r="E54" s="35">
        <v>6632.3</v>
      </c>
      <c r="F54" s="30">
        <f t="shared" si="3"/>
        <v>0.51192929643780638</v>
      </c>
    </row>
    <row r="55" spans="1:6">
      <c r="A55" s="108" t="s">
        <v>34</v>
      </c>
      <c r="B55" s="116" t="s">
        <v>98</v>
      </c>
      <c r="C55" s="31" t="s">
        <v>101</v>
      </c>
      <c r="D55" s="36">
        <f>SUM(D56:D58)</f>
        <v>2176.9</v>
      </c>
      <c r="E55" s="36">
        <f>SUM(E56:E58)</f>
        <v>2143.6</v>
      </c>
      <c r="F55" s="30">
        <f t="shared" si="3"/>
        <v>0.98470301805319482</v>
      </c>
    </row>
    <row r="56" spans="1:6">
      <c r="A56" s="114"/>
      <c r="B56" s="117"/>
      <c r="C56" s="32" t="s">
        <v>102</v>
      </c>
      <c r="D56" s="35">
        <v>2176.9</v>
      </c>
      <c r="E56" s="35">
        <v>2143.6</v>
      </c>
      <c r="F56" s="30">
        <f t="shared" si="3"/>
        <v>0.98470301805319482</v>
      </c>
    </row>
    <row r="57" spans="1:6">
      <c r="A57" s="114"/>
      <c r="B57" s="117"/>
      <c r="C57" s="32" t="s">
        <v>6</v>
      </c>
      <c r="D57" s="35">
        <v>0</v>
      </c>
      <c r="E57" s="35">
        <v>0</v>
      </c>
    </row>
    <row r="58" spans="1:6">
      <c r="A58" s="115"/>
      <c r="B58" s="118"/>
      <c r="C58" s="32" t="s">
        <v>10</v>
      </c>
      <c r="D58" s="35">
        <v>0</v>
      </c>
      <c r="E58" s="35">
        <v>0</v>
      </c>
    </row>
    <row r="60" spans="1:6">
      <c r="C60" s="31" t="s">
        <v>101</v>
      </c>
      <c r="D60" s="36">
        <f>SUM(D61:D63)</f>
        <v>6217268.2999999998</v>
      </c>
      <c r="E60" s="36">
        <f>SUM(E61:E63)</f>
        <v>5776349.1999999993</v>
      </c>
      <c r="F60" s="30">
        <f t="shared" ref="F60:F63" si="4">E60/D60</f>
        <v>0.92908153891315892</v>
      </c>
    </row>
    <row r="61" spans="1:6">
      <c r="C61" s="32" t="s">
        <v>102</v>
      </c>
      <c r="D61" s="35">
        <f t="shared" ref="D61:E63" si="5">D4+D8+D12+D16+D20+D24+D28+D32+D36+D40+D44+D48+D52+D56</f>
        <v>3474079.8</v>
      </c>
      <c r="E61" s="35">
        <f t="shared" si="5"/>
        <v>3075933.4</v>
      </c>
      <c r="F61" s="30">
        <f t="shared" si="4"/>
        <v>0.88539514837857214</v>
      </c>
    </row>
    <row r="62" spans="1:6">
      <c r="C62" s="32" t="s">
        <v>6</v>
      </c>
      <c r="D62" s="35">
        <f t="shared" si="5"/>
        <v>2685299</v>
      </c>
      <c r="E62" s="35">
        <f t="shared" si="5"/>
        <v>2649816.1999999993</v>
      </c>
      <c r="F62" s="30">
        <f t="shared" si="4"/>
        <v>0.98678627594171053</v>
      </c>
    </row>
    <row r="63" spans="1:6">
      <c r="C63" s="32" t="s">
        <v>10</v>
      </c>
      <c r="D63" s="35">
        <f t="shared" si="5"/>
        <v>57889.5</v>
      </c>
      <c r="E63" s="35">
        <f t="shared" si="5"/>
        <v>50599.600000000006</v>
      </c>
      <c r="F63" s="30">
        <f t="shared" si="4"/>
        <v>0.87407215470853961</v>
      </c>
    </row>
    <row r="65" spans="4:5">
      <c r="D65" s="34">
        <f>D3+D7+D11+D15+D19+D23+D27+D31+D35+D39+D43+D47+D51+D55</f>
        <v>6217268.2999999998</v>
      </c>
      <c r="E65" s="34">
        <f>E3+E7+E11+E15+E19+E23+E27+E31+E35+E39+E43+E47+E51+E55</f>
        <v>5776349.1999999993</v>
      </c>
    </row>
  </sheetData>
  <mergeCells count="28">
    <mergeCell ref="A7:A10"/>
    <mergeCell ref="B7:B10"/>
    <mergeCell ref="A3:A6"/>
    <mergeCell ref="B3:B6"/>
    <mergeCell ref="A19:A22"/>
    <mergeCell ref="B19:B22"/>
    <mergeCell ref="A15:A18"/>
    <mergeCell ref="B15:B18"/>
    <mergeCell ref="A11:A14"/>
    <mergeCell ref="B11:B14"/>
    <mergeCell ref="A31:A34"/>
    <mergeCell ref="B31:B34"/>
    <mergeCell ref="A27:A30"/>
    <mergeCell ref="B27:B30"/>
    <mergeCell ref="A23:A26"/>
    <mergeCell ref="B23:B26"/>
    <mergeCell ref="A43:A46"/>
    <mergeCell ref="B43:B46"/>
    <mergeCell ref="A39:A42"/>
    <mergeCell ref="B39:B42"/>
    <mergeCell ref="A35:A38"/>
    <mergeCell ref="B35:B38"/>
    <mergeCell ref="A51:A54"/>
    <mergeCell ref="B51:B54"/>
    <mergeCell ref="A55:A58"/>
    <mergeCell ref="B55:B58"/>
    <mergeCell ref="A47:A50"/>
    <mergeCell ref="B47:B50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Эффективность </vt:lpstr>
      <vt:lpstr>Лист3</vt:lpstr>
      <vt:lpstr>'Эффективность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Бидненко</cp:lastModifiedBy>
  <cp:lastPrinted>2017-04-18T11:52:26Z</cp:lastPrinted>
  <dcterms:created xsi:type="dcterms:W3CDTF">2015-02-21T18:59:30Z</dcterms:created>
  <dcterms:modified xsi:type="dcterms:W3CDTF">2021-04-20T11:22:34Z</dcterms:modified>
</cp:coreProperties>
</file>